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1"/>
  </bookViews>
  <sheets>
    <sheet name="Лист1" sheetId="1" r:id="rId1"/>
    <sheet name="прил.3 (2)" sheetId="2" r:id="rId2"/>
  </sheets>
  <definedNames/>
  <calcPr fullCalcOnLoad="1"/>
</workbook>
</file>

<file path=xl/sharedStrings.xml><?xml version="1.0" encoding="utf-8"?>
<sst xmlns="http://schemas.openxmlformats.org/spreadsheetml/2006/main" count="4627" uniqueCount="589">
  <si>
    <t xml:space="preserve">                                                                </t>
  </si>
  <si>
    <t>Наименование показателя</t>
  </si>
  <si>
    <t>Разд.</t>
  </si>
  <si>
    <t>Общегосударственные вопросы</t>
  </si>
  <si>
    <t>0100</t>
  </si>
  <si>
    <t>0102</t>
  </si>
  <si>
    <t>Руководство и управление в сфере установленных функций</t>
  </si>
  <si>
    <t>0010000</t>
  </si>
  <si>
    <t>0103</t>
  </si>
  <si>
    <t>Центральный аппарат</t>
  </si>
  <si>
    <t>005</t>
  </si>
  <si>
    <t>0104</t>
  </si>
  <si>
    <t>Территориальные органы</t>
  </si>
  <si>
    <t>Судебная система</t>
  </si>
  <si>
    <t>0106</t>
  </si>
  <si>
    <t>Обслуживание государственного и муниципального долга</t>
  </si>
  <si>
    <t>0650000</t>
  </si>
  <si>
    <t>Процентные платежи по муниципальному долгу</t>
  </si>
  <si>
    <t>Другие общегосударственные вопросы</t>
  </si>
  <si>
    <t>0900000</t>
  </si>
  <si>
    <t>0920000</t>
  </si>
  <si>
    <t>Выполнение других обязательств государства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</si>
  <si>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</si>
  <si>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</si>
  <si>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</si>
  <si>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</si>
  <si>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</si>
  <si>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</si>
  <si>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</si>
  <si>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</si>
  <si>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</si>
  <si>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</si>
  <si>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</si>
  <si>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Водохозяйственные мероприятия</t>
  </si>
  <si>
    <t>2800300</t>
  </si>
  <si>
    <t>Мероприятия</t>
  </si>
  <si>
    <t>022</t>
  </si>
  <si>
    <t>Выполнение функций органами местного самоуправления</t>
  </si>
  <si>
    <t>500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</si>
  <si>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</si>
  <si>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</si>
  <si>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</si>
  <si>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</si>
  <si>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</si>
  <si>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</si>
  <si>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Поддержка жилищного хозяйства </t>
  </si>
  <si>
    <t>3500000</t>
  </si>
  <si>
    <t>3500200</t>
  </si>
  <si>
    <t xml:space="preserve">Мероприятия в области жилищного хозяйства </t>
  </si>
  <si>
    <t>3500300</t>
  </si>
  <si>
    <t>Мероприятия  по сносу ветхого жилищного фонда</t>
  </si>
  <si>
    <t>3500302</t>
  </si>
  <si>
    <t>5210115</t>
  </si>
  <si>
    <t>Бюджетные инвестиции</t>
  </si>
  <si>
    <t>003</t>
  </si>
  <si>
    <t>Коммунальное хозяйство</t>
  </si>
  <si>
    <t>0502</t>
  </si>
  <si>
    <t xml:space="preserve">Мероприятия в области коммунального хозяйства </t>
  </si>
  <si>
    <t>3510500</t>
  </si>
  <si>
    <t>0503</t>
  </si>
  <si>
    <t>Благоустройство</t>
  </si>
  <si>
    <t>6000000</t>
  </si>
  <si>
    <t xml:space="preserve">Уличное освещение </t>
  </si>
  <si>
    <t>6000100</t>
  </si>
  <si>
    <t>Организация и содержание мест захоронения</t>
  </si>
  <si>
    <t>6000400</t>
  </si>
  <si>
    <t xml:space="preserve">Прочие мероприятия по благоустройству городских округов </t>
  </si>
  <si>
    <t>6000500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</si>
  <si>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</si>
  <si>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</si>
  <si>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</si>
  <si>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</si>
  <si>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</si>
  <si>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</si>
  <si>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</si>
  <si>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</si>
  <si>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</si>
  <si>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</si>
  <si>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</si>
  <si>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</si>
  <si>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</si>
  <si>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</si>
  <si>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5200000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</si>
  <si>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</si>
  <si>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</si>
  <si>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</si>
  <si>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</si>
  <si>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Оздоровление детей и подростков</t>
  </si>
  <si>
    <t>Другие вопросы в области образования</t>
  </si>
  <si>
    <t>0709</t>
  </si>
  <si>
    <t>0800</t>
  </si>
  <si>
    <t>Культура</t>
  </si>
  <si>
    <t>0801</t>
  </si>
  <si>
    <t>Библиотеки</t>
  </si>
  <si>
    <t>Театры, цирки, концертные и другие организации исполнительских искусств</t>
  </si>
  <si>
    <t>Физкультурно-оздоровительная работа и спортивные мероприятия</t>
  </si>
  <si>
    <t>Социальная политика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</si>
  <si>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</si>
  <si>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</si>
  <si>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</si>
  <si>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</si>
  <si>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 xml:space="preserve">                                   Всего  расходов:                                                                                        </t>
  </si>
  <si>
    <t>Процентные платежи по долговым обязательствам</t>
  </si>
  <si>
    <t>Пенсионное обеспечение</t>
  </si>
  <si>
    <t>7950000</t>
  </si>
  <si>
    <t>Физическая культура и спорт</t>
  </si>
  <si>
    <t>5129700</t>
  </si>
  <si>
    <t>1001</t>
  </si>
  <si>
    <t>Доплаты к пенсиям государственных служащих субъектов Российской Федерации и муниципальных служащих</t>
  </si>
  <si>
    <t>Доплаты к пенсиям , дополнительное пенсионное обеспечение</t>
  </si>
  <si>
    <t>4910000</t>
  </si>
  <si>
    <t>4910100</t>
  </si>
  <si>
    <t>5140100</t>
  </si>
  <si>
    <t>Прочие расходы</t>
  </si>
  <si>
    <t>013</t>
  </si>
  <si>
    <t>4409900</t>
  </si>
  <si>
    <t>4420000</t>
  </si>
  <si>
    <t>4430000</t>
  </si>
  <si>
    <t>Руководство и управление в сфере установленных функций органов  государственной власти субъектов РФ и органов местного самоуправления</t>
  </si>
  <si>
    <t>0020000</t>
  </si>
  <si>
    <t>0020400</t>
  </si>
  <si>
    <t>4520000</t>
  </si>
  <si>
    <t>4230000</t>
  </si>
  <si>
    <t>Ежемесячное  денежное вознаграждение за классное руководство</t>
  </si>
  <si>
    <t>5200900</t>
  </si>
  <si>
    <t>Проведение мероприятий  для детей и молодежи</t>
  </si>
  <si>
    <t xml:space="preserve">Мероприятия в области образования </t>
  </si>
  <si>
    <t>4360000</t>
  </si>
  <si>
    <t>4360900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</si>
  <si>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</si>
  <si>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4310100</t>
  </si>
  <si>
    <t>4320200</t>
  </si>
  <si>
    <t>Дошкольное образование</t>
  </si>
  <si>
    <t>0701</t>
  </si>
  <si>
    <t>Детские дошкольные учреждения</t>
  </si>
  <si>
    <t>4200000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</si>
  <si>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</si>
  <si>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</si>
  <si>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</si>
  <si>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</si>
  <si>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</si>
  <si>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</si>
  <si>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</si>
  <si>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0020800</t>
  </si>
  <si>
    <t>0021500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</si>
  <si>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</si>
  <si>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</si>
  <si>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0022500</t>
  </si>
  <si>
    <t>0111</t>
  </si>
  <si>
    <t>0650300</t>
  </si>
  <si>
    <t>прочие расходы</t>
  </si>
  <si>
    <t xml:space="preserve">Реализация государственной политики в  области приватизации и управления государственной и муниципальной  собственностью </t>
  </si>
  <si>
    <t>Реализация государственных функций, связанных с  общегосударственным управлением</t>
  </si>
  <si>
    <t>0920300</t>
  </si>
  <si>
    <t>Учреждения по обеспечению хозяйственного обслуживания</t>
  </si>
  <si>
    <t>Мобилизационная вневойсковая подготовка</t>
  </si>
  <si>
    <t>0203</t>
  </si>
  <si>
    <t>Осуществление первичного воинского учета на территория, где отсутствуют военные комиссариаты</t>
  </si>
  <si>
    <t>0013600</t>
  </si>
  <si>
    <t xml:space="preserve">Национальная безопасность  и правоохранительная деятельность 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</si>
  <si>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</si>
  <si>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чрезвычайных ситуаций природного и техногенного характера</t>
  </si>
  <si>
    <t>2180100</t>
  </si>
  <si>
    <t>Обеспечение пожарной безопасности</t>
  </si>
  <si>
    <t>Мероприятия по обеспечению жильем молодых семей и молодых специалистов , проживающих и работающих в сельской местности</t>
  </si>
  <si>
    <t>Транспорт</t>
  </si>
  <si>
    <t>0408</t>
  </si>
  <si>
    <t>Автомобильный транспорт</t>
  </si>
  <si>
    <t>3030000</t>
  </si>
  <si>
    <t>3030200</t>
  </si>
  <si>
    <t>Мероприятия по обеспечению жильем  отдельных категорий граждан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</si>
  <si>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</si>
  <si>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</si>
  <si>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</si>
  <si>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</si>
  <si>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</si>
  <si>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</si>
  <si>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Прочие выплаты по обязательствам государства</t>
  </si>
  <si>
    <t>0920305</t>
  </si>
  <si>
    <t xml:space="preserve">              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</si>
  <si>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</si>
  <si>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</si>
  <si>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Проведение мероприятий по обеспечению жильем граждан, проживающих в сельской местности</t>
  </si>
  <si>
    <t>Осуществление мероприятий по организации питания в муниципальных образовательных учреждениях</t>
  </si>
  <si>
    <t>3510000</t>
  </si>
  <si>
    <t>Предоставление гражданам субсидий на оплату жилого помещения и коммунальных услуг</t>
  </si>
  <si>
    <t>0105</t>
  </si>
  <si>
    <t>0014000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</si>
  <si>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</si>
  <si>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</si>
  <si>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</si>
  <si>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</si>
  <si>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902</t>
  </si>
  <si>
    <t>5210129</t>
  </si>
  <si>
    <t xml:space="preserve">Межевание территории земельных участков и (или) паспортизация автомобильных дорог для осуществления дорожной деятельности в отношении  автомобильных дорог местного значения </t>
  </si>
  <si>
    <t>Осуществление кап. ремонта гтс, находящихся в собственности субъектов РФ, муниципальной собственности и безхозяйных гтс</t>
  </si>
  <si>
    <t>3500312</t>
  </si>
  <si>
    <t>5210600</t>
  </si>
  <si>
    <t>5140000</t>
  </si>
  <si>
    <t>Федеральная целевая программа "Социальное развитие села до 2012 года"</t>
  </si>
  <si>
    <t>901</t>
  </si>
  <si>
    <t>Социальная помощь</t>
  </si>
  <si>
    <t>1001101</t>
  </si>
  <si>
    <t>0602</t>
  </si>
  <si>
    <t>Оплата жилищно-коммунальных услуг отдельным категориям граждан</t>
  </si>
  <si>
    <t>5054600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</si>
  <si>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</si>
  <si>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099</t>
  </si>
  <si>
    <t>Субсидии на осуществление мероприятий по обеспечению жильем граждан, проживающих в сельской местности</t>
  </si>
  <si>
    <t>5140101</t>
  </si>
  <si>
    <t>0700000</t>
  </si>
  <si>
    <t>0700400</t>
  </si>
  <si>
    <t xml:space="preserve">Резервный фонд </t>
  </si>
  <si>
    <t>Резервный фонд исполнительных органов государственной власти субъектов РФ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</si>
  <si>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</si>
  <si>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1001102</t>
  </si>
  <si>
    <t>0014300</t>
  </si>
  <si>
    <t>Осуществление полномочий по подготовке проведения статистических переписей</t>
  </si>
  <si>
    <t>0920303</t>
  </si>
  <si>
    <t>0113</t>
  </si>
  <si>
    <t>0804</t>
  </si>
  <si>
    <t>Мероприятия в области  физической культуры и спорта</t>
  </si>
  <si>
    <t xml:space="preserve">Другие вопросы в области культуры, кинематографии </t>
  </si>
  <si>
    <t xml:space="preserve">Культура, кинематография </t>
  </si>
  <si>
    <t xml:space="preserve">Дворцы и дома культуры, другие учреждения культуры </t>
  </si>
  <si>
    <t>Расходы, связанные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</si>
  <si>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Ежемесячное денежное вознаграждение за классное руководство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</si>
  <si>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</si>
  <si>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</si>
  <si>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Мероприятия по организации оздоровительной кампании детей</t>
  </si>
  <si>
    <t>Оздоровление детей</t>
  </si>
  <si>
    <t>906</t>
  </si>
  <si>
    <t>5210100</t>
  </si>
  <si>
    <t>5210000</t>
  </si>
  <si>
    <t>5210153</t>
  </si>
  <si>
    <t>Межбюджетные трансферты местным бюджетам</t>
  </si>
  <si>
    <t>Субсидии местным бюджетам</t>
  </si>
  <si>
    <t>1100</t>
  </si>
  <si>
    <t>Связь и информатика</t>
  </si>
  <si>
    <t>0410</t>
  </si>
  <si>
    <t>1300</t>
  </si>
  <si>
    <t>1301</t>
  </si>
  <si>
    <t>Областная целевая программа "Информационное общество СО на 2011-2015 г.г"</t>
  </si>
  <si>
    <t>Областная целевая программа «Развитие жилищного комплекса в Свердловской области» на 2011-2015 годы</t>
  </si>
  <si>
    <t>5220400</t>
  </si>
  <si>
    <t>Исполнение судебных актов по искам к бюджету округа</t>
  </si>
  <si>
    <t>0920100</t>
  </si>
  <si>
    <t>Массовый спорт</t>
  </si>
  <si>
    <t>1102</t>
  </si>
  <si>
    <t>Подпрограмма «Обеспечение жильем молодых семей» на 2011-2015 годы</t>
  </si>
  <si>
    <t>5220450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</si>
  <si>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 ,и иным категориям несовершеннолетних граждан,нуждающихсяв социальной поддержке.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</si>
  <si>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 ,и иным категориям несовершеннолетних граждан,нуждающихся в социальной поддержке.</t>
  </si>
  <si>
    <t>Содержание и обеспечение деятельности вновь создаваемых финансовых органов муниципальных образований в Свердловской области</t>
  </si>
  <si>
    <t>4409901</t>
  </si>
  <si>
    <t>4230001</t>
  </si>
  <si>
    <t>4200006</t>
  </si>
  <si>
    <t>Другие вопросы в области социальной политики</t>
  </si>
  <si>
    <t>1006</t>
  </si>
  <si>
    <t>7950101</t>
  </si>
  <si>
    <t>7950201</t>
  </si>
  <si>
    <t>7950103</t>
  </si>
  <si>
    <t>7950301</t>
  </si>
  <si>
    <t>7950401</t>
  </si>
  <si>
    <t>7950501</t>
  </si>
  <si>
    <t>7950601</t>
  </si>
  <si>
    <t>7950701</t>
  </si>
  <si>
    <t>7950801</t>
  </si>
  <si>
    <t>7951001</t>
  </si>
  <si>
    <t>7951101</t>
  </si>
  <si>
    <t>4320201</t>
  </si>
  <si>
    <t>СВОД</t>
  </si>
  <si>
    <t>расходов  бюджета МО Красноуфимский округ по разделам, подразделам, целевым статьям и видам расходов</t>
  </si>
  <si>
    <t>Капитальный ремонт общего имущества муниципального жилищного фонда</t>
  </si>
  <si>
    <t>Процентые платежи по  муниципальному долгу</t>
  </si>
  <si>
    <t>Меропрития в области коммунального хозяйства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</si>
  <si>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</si>
  <si>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</si>
  <si>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</si>
  <si>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</si>
  <si>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</si>
  <si>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</si>
  <si>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</si>
  <si>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</si>
  <si>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оплатужилого помещения и коммунальных услуг</t>
  </si>
  <si>
    <t>7951501</t>
  </si>
  <si>
    <t>7952001</t>
  </si>
  <si>
    <t>8170003</t>
  </si>
  <si>
    <t>7951701</t>
  </si>
  <si>
    <t>7951901</t>
  </si>
  <si>
    <t>7951401</t>
  </si>
  <si>
    <t>7951301</t>
  </si>
  <si>
    <t>7952301</t>
  </si>
  <si>
    <t>7952201</t>
  </si>
  <si>
    <t>8250101</t>
  </si>
  <si>
    <t>8250102</t>
  </si>
  <si>
    <t>7952101</t>
  </si>
  <si>
    <t>МЦП "Обеспечение жильем молодых семей на территории Муниципального образования Красноуфимский округ на 2011-2015 годы"</t>
  </si>
  <si>
    <t>8150000</t>
  </si>
  <si>
    <t>МЦП "Восстановление пожарного водоснабжения на территории Муниципального образования Красноуфимский округ на 2012 - 2014 годы"</t>
  </si>
  <si>
    <t>МЦП "Молодежь Муниципального образования Красноуфимский округ на 2011-2015 годы"</t>
  </si>
  <si>
    <t>МЦП  "Патриотическое воспитание молодежи Муниципального образования Красноуфимский округ на 2011 - 2015 годы"</t>
  </si>
  <si>
    <t>МЦП "Обеспечение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2010-2012 годы"</t>
  </si>
  <si>
    <t>МЦП "Развитие физической культуры, спорта и формирования здорового  образа жизни населения МО Красноуфимский округ " на 2012-2015гг.</t>
  </si>
  <si>
    <t>7952401</t>
  </si>
  <si>
    <t>7950102</t>
  </si>
  <si>
    <t>7952501</t>
  </si>
  <si>
    <t>Резервные фонды</t>
  </si>
  <si>
    <t>0700500</t>
  </si>
  <si>
    <t xml:space="preserve">Резервные фонды местных администраций </t>
  </si>
  <si>
    <t>Капремонт зданий и помещений, в которых размещаются  МУ культуры и оснащение  учреждений специальным оборудованием, музыкальным оборудованием, инвентарем и музыкальными инструментами</t>
  </si>
  <si>
    <t>МЦП " Информатизация МО Красноуфимский округ на 2011-2015 годы"</t>
  </si>
  <si>
    <t>МЦП "Информатизация МО Красноуфимский округ на 2011-2015 годы"</t>
  </si>
  <si>
    <t>Муниципальные целевые программы</t>
  </si>
  <si>
    <t>МЦП "Комплексная программа профилактики правонарушений на территории Муниципального образования Красноуфимский округ на 2012-2014 годы"</t>
  </si>
  <si>
    <t>МЦП "Совершенствование организации питания учащихся в образовательных учреждениях Муниципального образования Красноуфимский округ на 2011-2015 г. "</t>
  </si>
  <si>
    <t>МЦП  "Совершенствование организации подвоза обучающихся в общеобразовательные учреждения Муниципального образования Красноуфимский округ на 2011-2015 годы"</t>
  </si>
  <si>
    <t>МЦП «Народосбережение»</t>
  </si>
  <si>
    <t>МЦП "Молодежь Муниципального образования Красноуфимский округ на 2011-2015 годы",</t>
  </si>
  <si>
    <t>8040600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</si>
  <si>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</si>
  <si>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</si>
  <si>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</si>
  <si>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</si>
  <si>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обязательных платежей</t>
  </si>
  <si>
    <t>111</t>
  </si>
  <si>
    <t>112</t>
  </si>
  <si>
    <t>242</t>
  </si>
  <si>
    <t>244</t>
  </si>
  <si>
    <t>852</t>
  </si>
  <si>
    <t>5260200</t>
  </si>
  <si>
    <t>243</t>
  </si>
  <si>
    <t>Закупка товаров, работ, услуг в целях капитального ремонта</t>
  </si>
  <si>
    <t>4210000</t>
  </si>
  <si>
    <t>Специальные расходы</t>
  </si>
  <si>
    <t>880</t>
  </si>
  <si>
    <t>5240200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</si>
  <si>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</si>
  <si>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</si>
  <si>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 расходов, направляемых на мордернизацию системы общего образования</t>
  </si>
  <si>
    <t>5250100</t>
  </si>
  <si>
    <t>5250110</t>
  </si>
  <si>
    <t>5250120</t>
  </si>
  <si>
    <t>5250130</t>
  </si>
  <si>
    <t>5260300</t>
  </si>
  <si>
    <t>Меры социальной поддержки населения по публичным нормативным обязательствам</t>
  </si>
  <si>
    <t>5260400</t>
  </si>
  <si>
    <t>314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</si>
  <si>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</si>
  <si>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4329900</t>
  </si>
  <si>
    <t>611</t>
  </si>
  <si>
    <t>Субсидии бюджетным учреждениям на иные цели</t>
  </si>
  <si>
    <t>612</t>
  </si>
  <si>
    <t>121</t>
  </si>
  <si>
    <t>122</t>
  </si>
  <si>
    <t>Уплата прочих налогов, сборов и иных платежей</t>
  </si>
  <si>
    <t>7950104</t>
  </si>
  <si>
    <t>870</t>
  </si>
  <si>
    <t>831</t>
  </si>
  <si>
    <t>Субсидии юридическим лицам (кроме гос.учреждений) и физическим лицам- производителям товаров, работ и услуг</t>
  </si>
  <si>
    <t>810</t>
  </si>
  <si>
    <t>730</t>
  </si>
  <si>
    <t>919</t>
  </si>
  <si>
    <t>Пенсии, выплачиваемые организациями сектора государственного управления</t>
  </si>
  <si>
    <t>312</t>
  </si>
  <si>
    <t>313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</si>
  <si>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</si>
  <si>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</si>
  <si>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</si>
  <si>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МЦП "Развитие муниципальной службы в МО Красноуфимский округ на 2012-2014 годы"</t>
  </si>
  <si>
    <t>5250200</t>
  </si>
  <si>
    <t>5250600</t>
  </si>
  <si>
    <t>5250700</t>
  </si>
  <si>
    <t>5250300</t>
  </si>
  <si>
    <t>5250500</t>
  </si>
  <si>
    <t>912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</si>
  <si>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</si>
  <si>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нужд нужд</t>
  </si>
  <si>
    <t>Субсидии юридическим лицам (кроме государственных учреждений) и физическим лицам - производителям товаров, работ, услуг</t>
  </si>
  <si>
    <t>Закупка товаров, работ, услуг, в целях капитального ремонта муниципального имущества</t>
  </si>
  <si>
    <t>Прочая закупка товаров, работ и услуг для муниципвльных нужд</t>
  </si>
  <si>
    <t>Субсидии юридическим лицам (кроме государственных учреждений) и физическим лицам- производителям товаров, работ и услуг</t>
  </si>
  <si>
    <t>Прочая закупка товаров, работ и услуг для муниципальных нужд</t>
  </si>
  <si>
    <t>411</t>
  </si>
  <si>
    <t xml:space="preserve">Бюджетные инвестиции в объекты
муниципальной собственности казенным  учреждениям </t>
  </si>
  <si>
    <t xml:space="preserve">Подпрограмма "Подготовка документов территориального планирования, градостроительного зонирования и документации по планировке территорий" </t>
  </si>
  <si>
    <t>4100200</t>
  </si>
  <si>
    <t xml:space="preserve">Составление (изменение и дополнение) списков  кандидатов в присяжные заседатели  федеральных судов общей юрисдикции в РФ </t>
  </si>
  <si>
    <t>Процентые платежи по  долговым обязательствам</t>
  </si>
  <si>
    <t>Исполнение судебных актов</t>
  </si>
  <si>
    <t xml:space="preserve">Исполнение судебных актов </t>
  </si>
  <si>
    <t>МЦП "Содействие развитию малого и среднего предпринимательства в МО Красноуфимский округ на 2012 - 2014 годы"</t>
  </si>
  <si>
    <t>Строительство объектов социальной и коммунальной инфраструктуры</t>
  </si>
  <si>
    <t>5220012</t>
  </si>
  <si>
    <t>Прочая закупка товаров, работ и услуг для муниципальных  нужд</t>
  </si>
  <si>
    <t xml:space="preserve">Прочая закупка товаров, работ и услуг для муниципальных нужд </t>
  </si>
  <si>
    <t>МЦП  "Развитие образования в муниципальном образовании Красноуфимский округ ("Наша новая школа") на 2012-2015 годы"</t>
  </si>
  <si>
    <t>7952601</t>
  </si>
  <si>
    <t>«Капитальный ремонт и ремонт автомобильных дорог общего пользования местного значения населенных пунктов»</t>
  </si>
  <si>
    <t>8030209</t>
  </si>
  <si>
    <t>Подпрограмма "Развитие и обеспечение сохранности сети автомобильных дорог на территории Свердловской области"</t>
  </si>
  <si>
    <t>8030200</t>
  </si>
  <si>
    <t>0</t>
  </si>
  <si>
    <t>Дорожное хозяйство (дорожные фонды)</t>
  </si>
  <si>
    <t>0409</t>
  </si>
  <si>
    <t>3150000</t>
  </si>
  <si>
    <t>Дорожное хозяйство</t>
  </si>
  <si>
    <t>Управление дорожным хозяйством</t>
  </si>
  <si>
    <t>3150100</t>
  </si>
  <si>
    <t>3150103</t>
  </si>
  <si>
    <t>3150104</t>
  </si>
  <si>
    <t>3150105</t>
  </si>
  <si>
    <t>Ремонт и содержание автомобильных дорог местного значения</t>
  </si>
  <si>
    <t>3030201</t>
  </si>
  <si>
    <t>3030202</t>
  </si>
  <si>
    <t>Ремонт автомобильных дорог общего пользования местного значения населенных пунктов</t>
  </si>
  <si>
    <t xml:space="preserve">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</si>
  <si>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Ремонт  дворовых территорий многоквартирных домов, проездов к дворовым территориям многоквартирных домов населенных пунктов </t>
  </si>
  <si>
    <t>Инженерное обустройство земель для ведения коллективного садоводства</t>
  </si>
  <si>
    <t>3400200</t>
  </si>
  <si>
    <t>Субсидии на проведение отдельных мероприятий в области автомобильного транспорта</t>
  </si>
  <si>
    <t>Субсидии на возмещение затрат транспортным организациям, связанных с обеспечением равной доступности транспортных услуг</t>
  </si>
  <si>
    <t>Водное хозяйство</t>
  </si>
  <si>
    <t>МЦП "Программа по реализации мер по реконструкции и развитию материальной базы Загородного оздоровительного лагеря для детей "Черкасово" Муниципального образования Красноуфимский округ на 2011-2015 годы"</t>
  </si>
  <si>
    <t>Содержание и ремонт объектов недвижимости, находящихся в муниципальной собственности</t>
  </si>
  <si>
    <t>6000300</t>
  </si>
  <si>
    <t>Озеленение</t>
  </si>
  <si>
    <t>0900300</t>
  </si>
  <si>
    <t>00200400</t>
  </si>
  <si>
    <t>2180500</t>
  </si>
  <si>
    <t xml:space="preserve">Содержание и развитие системы по предупреждению и ликвидации чрезвычайных ситуаций и стихийных бедствий </t>
  </si>
  <si>
    <t>4200005</t>
  </si>
  <si>
    <t>Школы -детские сады, школы начальные, неполные средние и средние</t>
  </si>
  <si>
    <t>4210005</t>
  </si>
  <si>
    <t>МЦП "Градостроительное развитие территории Муниципального образования Красноуфимский округ на 2012 - 2015 годы"</t>
  </si>
  <si>
    <t>Мероприятия по МЦП "Комплексная программа профилактики правонарушений на территории Муниципального образования Красноуфимский округ на 2012-2014 годы"</t>
  </si>
  <si>
    <t>Комплектование книжных фондов библиотек муниципальных образований</t>
  </si>
  <si>
    <t>4400200</t>
  </si>
  <si>
    <t>МЦП "Оснащение многоквартирных домов и муниципальных учреждений на территории Муниципального образования Красноуфимский округ приборами учета потребления энергетических ресурсов в 2011-2012 годах</t>
  </si>
  <si>
    <t>МЦП "Газификация МО Красноуфимский округ на 2012-2015 годы</t>
  </si>
  <si>
    <t>Областная целевая программа «Комплексное благоустройство дворовых территорий в муниципальных образованиях в Свердловской области – «Тысяча дворов» на 2011-2015 годы</t>
  </si>
  <si>
    <t>8220000</t>
  </si>
  <si>
    <t>Приобретение имущества, подлежащего зачислению в муниципальную казну</t>
  </si>
  <si>
    <t>0900400</t>
  </si>
  <si>
    <t>МЦП "Повышение безопасности дорожного движения на территории МО Красноуфимский округ на период 2012-2016 годы</t>
  </si>
  <si>
    <t xml:space="preserve"> </t>
  </si>
  <si>
    <t>Расходы на повышение  размера минимальной заработной платы платы работникам муниципальных учреждений (за исключением  муниципальных общеообразовательных учреждений)</t>
  </si>
  <si>
    <t>5240400</t>
  </si>
  <si>
    <t>908</t>
  </si>
  <si>
    <t>Расходы на оплату коммунальных услуг муниципальными учреждениями</t>
  </si>
  <si>
    <t>5240500</t>
  </si>
  <si>
    <t>Субсидии на возмещение затрат транспортным организациям и индивидуальным предпринимателям, осуществляющим перевозку по субсидируемым маршрутам</t>
  </si>
  <si>
    <t>МЦП "Энергосбережение и повышение энергетической эффективности МО Красноуфимский округ Свердловской области на 2010-2020 годы"</t>
  </si>
  <si>
    <t>7952701</t>
  </si>
  <si>
    <t>Резервный фонд субъектов РФ</t>
  </si>
  <si>
    <t xml:space="preserve">Резервный фонд местных администраций </t>
  </si>
  <si>
    <t>Осуществление государственного полномочия по созданию административных комиссий.</t>
  </si>
  <si>
    <t>5260100</t>
  </si>
  <si>
    <t>Расходы на содействие  достижения и поощрения  достижения наилучших значений показателей  деятельности органов местного самоуправления</t>
  </si>
  <si>
    <t>Расходы на содействие достижения и поощрения наулучших значений показателей деятельности органов местного самоуправления</t>
  </si>
  <si>
    <t>МЦП  «Народосбережение» на 2013 год</t>
  </si>
  <si>
    <t>МЦП"Программа приватизации  муниципального имущества  Муниципального образования Красноуфимский округ на 2013год"</t>
  </si>
  <si>
    <t xml:space="preserve"> МЦП "Развитие муниципальной службы в МО Красноуфимский округ на 2012-2014 годы"</t>
  </si>
  <si>
    <t xml:space="preserve"> 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</si>
  <si>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300000</t>
  </si>
  <si>
    <t>415600</t>
  </si>
  <si>
    <t>30000</t>
  </si>
  <si>
    <t>841</t>
  </si>
  <si>
    <t xml:space="preserve"> Исполнение муниципальных гарантий </t>
  </si>
  <si>
    <t>Муниципальные гарантии РФ</t>
  </si>
  <si>
    <t xml:space="preserve">Муниципальные гарантии </t>
  </si>
  <si>
    <t>7951201</t>
  </si>
  <si>
    <t>МЦП " Информатизация  Муниципального образования Красноуфимский округ на 2011-2015 годы"</t>
  </si>
  <si>
    <t>7950901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</si>
  <si>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2013 год</t>
  </si>
  <si>
    <t>МЦП 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2013 годы</t>
  </si>
  <si>
    <t>МЦП "Программа по реализации приоритетного национального проекта "Доступное и комфортное жильё гражданам России" в Муниципальном образовании Красноуфимский округ на 2012-2015 годы"</t>
  </si>
  <si>
    <t>МЦП "Программа по реализации приоритетного национального проекта "Доступное и комфортное жильё гражданам России" в Муниципальном образовании Красноуфимский округ на 2012 - 2015 годы"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</si>
  <si>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2013 год</t>
  </si>
  <si>
    <t>7951601</t>
  </si>
  <si>
    <t>Защита населения и территории от чрезвычайных ситуаций природного и техногенного характера, гражданская оборона</t>
  </si>
  <si>
    <t>МЦП "Народосбережение на 2013 год"</t>
  </si>
  <si>
    <t>Сбор, удаление отходов и очистка сточных вод</t>
  </si>
  <si>
    <t>7951801</t>
  </si>
  <si>
    <t>МЦП "Создание системы кадастра недвижимости в Муниципальном образовании  Красноуфимский округ" на 2013 год</t>
  </si>
  <si>
    <t>7950105</t>
  </si>
  <si>
    <t>МЦП "Охрана окружающей среды в МО Красноуфимский округ" на 2013 год</t>
  </si>
  <si>
    <t>50000</t>
  </si>
  <si>
    <t>200000</t>
  </si>
  <si>
    <t>Муниципальная программа "Народосбережение на 2013"</t>
  </si>
  <si>
    <t>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 и бесхозяйных гидротехнических сооружений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</si>
  <si>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</si>
  <si>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4209900</t>
  </si>
  <si>
    <t>8200010</t>
  </si>
  <si>
    <t>2033620</t>
  </si>
  <si>
    <t>2000</t>
  </si>
  <si>
    <t>19690,9</t>
  </si>
  <si>
    <t>400</t>
  </si>
  <si>
    <t>8260299</t>
  </si>
  <si>
    <t>Проведение мероприятий по развитию газификации</t>
  </si>
  <si>
    <t>8260200</t>
  </si>
  <si>
    <t>Подпрограмма "Развитие газификации"</t>
  </si>
  <si>
    <t xml:space="preserve">Подпрограмма "Обеспечение жильем   ¦молодых семей" 
</t>
  </si>
  <si>
    <t>8040500</t>
  </si>
  <si>
    <t>8040000</t>
  </si>
  <si>
    <t xml:space="preserve">ОЦП "Развитие жилищного комплекса в Свердловской области" на 2011 - 2015 годы"
</t>
  </si>
  <si>
    <t xml:space="preserve">Другие вопросы в области национальной безопасности и правоохранительной деятельности
Другие вопросы в области национальной безопасности и правоохранительной деятельности
</t>
  </si>
  <si>
    <t>0314</t>
  </si>
  <si>
    <t xml:space="preserve">Другие вопросы в области национальной безопасности и правоохранительной деятельности
</t>
  </si>
  <si>
    <t>2470000</t>
  </si>
  <si>
    <t>2471000</t>
  </si>
  <si>
    <t>«Капитальный ремонт и ремонт дворовых территорий многоквартирных домов, проездов к дворовым территориям многоквартирных домов населенных пунктов»</t>
  </si>
  <si>
    <t>8030210</t>
  </si>
  <si>
    <t>8030000</t>
  </si>
  <si>
    <t>4464000</t>
  </si>
  <si>
    <t>ОЦП "Развитие жилищного комплекса в Свердловской области " на 2011 - 2015 годы</t>
  </si>
  <si>
    <t>Подготовка документации по планировке территории муниципальных образований в Свердловской области</t>
  </si>
  <si>
    <t>8040601</t>
  </si>
  <si>
    <t>8190000</t>
  </si>
  <si>
    <t>Региональные целевые программы</t>
  </si>
  <si>
    <t>8000000</t>
  </si>
  <si>
    <t>Направление "Совершенствование организации медицинской помощи учащимся общеобразовательных учреждений и детско-юношеских спортивных школ Свердловской области" на 2011-2015 годы</t>
  </si>
  <si>
    <t>8090000</t>
  </si>
  <si>
    <t>8090999</t>
  </si>
  <si>
    <t>8110000</t>
  </si>
  <si>
    <t>8110020</t>
  </si>
  <si>
    <t>8110010</t>
  </si>
  <si>
    <t>ОЦП "Информационное общество Свердловской области" на 2011 - 2015 годы</t>
  </si>
  <si>
    <t>321</t>
  </si>
  <si>
    <t>Резервные фонды  местных администраций</t>
  </si>
  <si>
    <t>Пособия и компенсации гражданам и иные социальные выплаты</t>
  </si>
  <si>
    <t>5240900</t>
  </si>
  <si>
    <t>5240600</t>
  </si>
  <si>
    <t>Модернизация региональных систем общего образования</t>
  </si>
  <si>
    <t>4362100</t>
  </si>
  <si>
    <t>Реализация мер по поэтапному повышению средней заработной платы педагогических работников муниципальных учреждений дополнительного образования</t>
  </si>
  <si>
    <t>"Развитие физической культуры, спорта и формирование здорового образа жизни населения МО Красноуфимский округ на 2012 - 2015 годы"</t>
  </si>
  <si>
    <t>5220000</t>
  </si>
  <si>
    <t>ОЦП "Патриотическое воспитание граждан в Свердловской области" на 2011 - 2015 годы"</t>
  </si>
  <si>
    <t>8210000</t>
  </si>
  <si>
    <t xml:space="preserve">Приобретение оборудования для организаций, занимающихся патриотическим воспитанием граждан в Свердловской области, и мероприятия по патриотическому воспитанию в муниципальных образованиях в Свердловской области
</t>
  </si>
  <si>
    <t>8210003</t>
  </si>
  <si>
    <t>4219900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</si>
  <si>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</si>
  <si>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464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</si>
  <si>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</si>
  <si>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</si>
  <si>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622</t>
  </si>
  <si>
    <t>Субсидии автономным учреждениям на иные цели</t>
  </si>
  <si>
    <t>Бюджетные инвестиции в объекты муниципальной собственности казенным учреждениям</t>
  </si>
  <si>
    <t>Субсидии на осуществление капитальных вложений в объекты капитального строительства бюджетным учреждениям</t>
  </si>
  <si>
    <t>Субсидии автономным учреждениям на финансовое обеспечение государственного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</si>
  <si>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</si>
  <si>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24000</t>
  </si>
  <si>
    <t>1001199</t>
  </si>
  <si>
    <t>"Строительство и реконструкция зданий дошкольных образовательных учреждений"</t>
  </si>
  <si>
    <t>8200020</t>
  </si>
  <si>
    <t>Строительство и реконструкция зданий дошкольных образовательных учреждений</t>
  </si>
  <si>
    <t>Реализация мероприятий  федеральной целевой    программы    "Социальное развитие села до 2013 года"</t>
  </si>
  <si>
    <t>2800000</t>
  </si>
  <si>
    <t>Капитальный ремонт общего имущества муниципального жилого фонда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</si>
  <si>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</si>
  <si>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Обеспечение первичных мер пожарной безопасности
</t>
  </si>
  <si>
    <t>Обеспечение первичных мер пожарной безопасности</t>
  </si>
  <si>
    <t>МЦП "Развитие и обеспечение сохранности сети автомобильных дорог местного значения на территории Муниципального образования Красноуфимский округ на 2012-2016 годы"</t>
  </si>
  <si>
    <t>ОЦП "Развитие транспортного комплекса Свердловской области " на 2011-2016 г.</t>
  </si>
  <si>
    <t xml:space="preserve">ОЦП "Энергосбережение в Свердловской области" на 2011 - 2015 годы"
</t>
  </si>
  <si>
    <t>МЦП "Комплексное благоустройство дворовых территорий Муниципального образования Красноуфимский округ на 2011-2015 год"</t>
  </si>
  <si>
    <t>ОЦП «Развитие сети дошкольных образовательных учреждений в Свердловской области» на 2010-2014 годы</t>
  </si>
  <si>
    <t>ОЦП "Совершенствование оказания медицинской помощи населению, предупреждение и борьба с социально значимыми заболеваниями на территории Свердловской области" на 2011 - 2015 годы"</t>
  </si>
  <si>
    <t>ОЦП «Развитие образования в Свердловской области» («Наша новая школа») на 2011-2015 годы</t>
  </si>
  <si>
    <t>МЦП "Развитие сети дошкольных образовательных учреждений Муниципального образования Красноуфимский округ на 2012-2014 годы "</t>
  </si>
  <si>
    <t>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</si>
  <si>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МЦП "Развитие физической культуры, спорта и формирование здорового образа жизни населения МО Красноуфимский округ на 2012 - 2015 годы"</t>
  </si>
  <si>
    <t xml:space="preserve">ОЦП "Информационное общество Свердловской области" 2011 - 2015 годы   </t>
  </si>
  <si>
    <t>Реализация мер по поэтапному повышению средней заработной платы работников муниципальных учреждений культуры</t>
  </si>
  <si>
    <t>МЦП "Развитие  культуры на территории  Муниципального образования Красноуфимский округ на 2012-2014гг"</t>
  </si>
  <si>
    <t>МЦП"Народосбережение на 2013 год"</t>
  </si>
  <si>
    <t>Реализация других функций, связанных с обеспечением национальной безопасности и правоохранительной деятельности.</t>
  </si>
  <si>
    <t xml:space="preserve">ОЦП"Энергосбережение в Свердловской области" на 2011 - 2015 годы"
</t>
  </si>
  <si>
    <t>МЦП"Народосбережение  на 2013год"</t>
  </si>
  <si>
    <t>МЦП "Обеспечение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2013 годы"</t>
  </si>
  <si>
    <t>Реализация мероприятий государственной программы Российской Федерации «Доступная среда» на 2011 - 2015 годы</t>
  </si>
  <si>
    <t>1009099</t>
  </si>
  <si>
    <t>5241000</t>
  </si>
  <si>
    <t>5241100</t>
  </si>
  <si>
    <t>Реализация мер по поэтапному повышению средней заработной платы педагогических работников муниципальных образовательных организаций дошкольного образования</t>
  </si>
  <si>
    <t>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</si>
  <si>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 xml:space="preserve">     Приложение № 3                                                                                     к решению Думы МО Красноуфимский округ от 26.06.2013 г. № 128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</si>
</sst>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27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53">
      <alignment/>
      <protection/>
    </xf>
    <xf numFmtId="49" fontId="2" fillId="0" borderId="10" xfId="53" applyNumberFormat="1" applyFont="1" applyBorder="1" applyAlignment="1">
      <alignment horizontal="center" vertical="top" wrapText="1"/>
      <protection/>
    </xf>
    <xf numFmtId="0" fontId="2" fillId="0" borderId="10" xfId="53" applyBorder="1">
      <alignment/>
      <protection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24" borderId="10" xfId="53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4" fillId="24" borderId="10" xfId="53" applyNumberFormat="1" applyFont="1" applyFill="1" applyBorder="1" applyAlignment="1">
      <alignment horizontal="center" vertical="top" wrapText="1"/>
      <protection/>
    </xf>
    <xf numFmtId="49" fontId="4" fillId="24" borderId="10" xfId="0" applyNumberFormat="1" applyFont="1" applyFill="1" applyBorder="1" applyAlignment="1">
      <alignment horizontal="center" vertical="top" wrapText="1"/>
    </xf>
    <xf numFmtId="49" fontId="2" fillId="24" borderId="10" xfId="53" applyNumberFormat="1" applyFont="1" applyFill="1" applyBorder="1" applyAlignment="1">
      <alignment vertical="top" wrapText="1"/>
      <protection/>
    </xf>
    <xf numFmtId="49" fontId="2" fillId="0" borderId="10" xfId="53" applyNumberFormat="1" applyFont="1" applyBorder="1" applyAlignment="1">
      <alignment vertical="top" wrapText="1"/>
      <protection/>
    </xf>
    <xf numFmtId="49" fontId="2" fillId="0" borderId="10" xfId="53" applyNumberFormat="1" applyBorder="1">
      <alignment/>
      <protection/>
    </xf>
    <xf numFmtId="49" fontId="2" fillId="0" borderId="10" xfId="53" applyNumberForma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53" applyNumberFormat="1" applyFont="1" applyBorder="1" applyAlignment="1">
      <alignment horizontal="left" vertical="top" wrapText="1"/>
      <protection/>
    </xf>
    <xf numFmtId="49" fontId="2" fillId="24" borderId="10" xfId="53" applyNumberFormat="1" applyFont="1" applyFill="1" applyBorder="1" applyAlignment="1">
      <alignment horizontal="left" vertical="top" wrapText="1"/>
      <protection/>
    </xf>
    <xf numFmtId="49" fontId="2" fillId="0" borderId="10" xfId="53" applyNumberFormat="1" applyFont="1" applyBorder="1">
      <alignment/>
      <protection/>
    </xf>
    <xf numFmtId="49" fontId="4" fillId="0" borderId="0" xfId="53" applyNumberFormat="1" applyFont="1" applyBorder="1">
      <alignment/>
      <protection/>
    </xf>
    <xf numFmtId="49" fontId="2" fillId="0" borderId="0" xfId="53" applyNumberFormat="1" applyFont="1" applyBorder="1">
      <alignment/>
      <protection/>
    </xf>
    <xf numFmtId="49" fontId="2" fillId="0" borderId="10" xfId="53" applyNumberFormat="1" applyFont="1" applyBorder="1">
      <alignment/>
      <protection/>
    </xf>
    <xf numFmtId="49" fontId="2" fillId="0" borderId="10" xfId="53" applyNumberFormat="1" applyFont="1" applyFill="1" applyBorder="1" applyAlignment="1">
      <alignment vertical="top" wrapText="1"/>
      <protection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0" xfId="53" applyNumberFormat="1" applyFont="1" applyBorder="1" applyAlignment="1">
      <alignment horizontal="center"/>
      <protection/>
    </xf>
    <xf numFmtId="49" fontId="2" fillId="0" borderId="0" xfId="53" applyNumberFormat="1" applyFont="1" applyBorder="1">
      <alignment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0" xfId="53" applyNumberFormat="1" applyBorder="1">
      <alignment/>
      <protection/>
    </xf>
    <xf numFmtId="49" fontId="2" fillId="0" borderId="0" xfId="53" applyNumberFormat="1" applyBorder="1" applyAlignment="1">
      <alignment horizontal="center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 horizontal="center"/>
      <protection/>
    </xf>
    <xf numFmtId="0" fontId="2" fillId="0" borderId="0" xfId="53" applyFill="1">
      <alignment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ill="1" applyBorder="1">
      <alignment/>
      <protection/>
    </xf>
    <xf numFmtId="49" fontId="2" fillId="0" borderId="0" xfId="53" applyNumberFormat="1" applyFont="1" applyFill="1" applyBorder="1" applyAlignment="1">
      <alignment horizontal="center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2" fillId="0" borderId="0" xfId="53" applyNumberFormat="1" applyFill="1" applyBorder="1" applyAlignment="1">
      <alignment horizontal="center"/>
      <protection/>
    </xf>
    <xf numFmtId="49" fontId="2" fillId="0" borderId="10" xfId="53" applyNumberFormat="1" applyFill="1" applyBorder="1" applyAlignment="1">
      <alignment horizontal="center"/>
      <protection/>
    </xf>
    <xf numFmtId="0" fontId="2" fillId="0" borderId="10" xfId="53" applyFont="1" applyBorder="1" applyAlignment="1">
      <alignment vertical="top" wrapText="1"/>
      <protection/>
    </xf>
    <xf numFmtId="0" fontId="0" fillId="0" borderId="10" xfId="0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0" fontId="2" fillId="24" borderId="10" xfId="53" applyFont="1" applyFill="1" applyBorder="1" applyAlignment="1">
      <alignment horizontal="left" vertical="top" wrapText="1"/>
      <protection/>
    </xf>
    <xf numFmtId="49" fontId="2" fillId="24" borderId="10" xfId="0" applyNumberFormat="1" applyFont="1" applyFill="1" applyBorder="1" applyAlignment="1">
      <alignment horizontal="center" vertical="top"/>
    </xf>
    <xf numFmtId="0" fontId="2" fillId="0" borderId="10" xfId="53" applyNumberFormat="1" applyFont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0" fontId="2" fillId="0" borderId="10" xfId="54" applyNumberFormat="1" applyFont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4" fontId="2" fillId="0" borderId="10" xfId="53" applyNumberFormat="1" applyFont="1" applyFill="1" applyBorder="1">
      <alignment/>
      <protection/>
    </xf>
    <xf numFmtId="0" fontId="4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53" applyNumberFormat="1" applyFont="1" applyBorder="1" applyAlignment="1">
      <alignment horizontal="left" vertical="top" wrapText="1"/>
      <protection/>
    </xf>
    <xf numFmtId="49" fontId="4" fillId="0" borderId="10" xfId="53" applyNumberFormat="1" applyFont="1" applyBorder="1">
      <alignment/>
      <protection/>
    </xf>
    <xf numFmtId="49" fontId="4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" fontId="4" fillId="0" borderId="10" xfId="53" applyNumberFormat="1" applyFont="1" applyFill="1" applyBorder="1" applyAlignment="1">
      <alignment horizontal="right"/>
      <protection/>
    </xf>
    <xf numFmtId="0" fontId="4" fillId="0" borderId="10" xfId="53" applyFont="1" applyBorder="1">
      <alignment/>
      <protection/>
    </xf>
    <xf numFmtId="4" fontId="4" fillId="0" borderId="10" xfId="53" applyNumberFormat="1" applyFont="1" applyFill="1" applyBorder="1">
      <alignment/>
      <protection/>
    </xf>
    <xf numFmtId="4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1" xfId="53" applyNumberFormat="1" applyFont="1" applyFill="1" applyBorder="1" applyAlignment="1">
      <alignment horizontal="right"/>
      <protection/>
    </xf>
    <xf numFmtId="4" fontId="2" fillId="0" borderId="11" xfId="53" applyNumberFormat="1" applyFont="1" applyFill="1" applyBorder="1">
      <alignment/>
      <protection/>
    </xf>
    <xf numFmtId="0" fontId="4" fillId="0" borderId="10" xfId="53" applyFont="1" applyFill="1" applyBorder="1">
      <alignment/>
      <protection/>
    </xf>
    <xf numFmtId="49" fontId="4" fillId="0" borderId="10" xfId="53" applyNumberFormat="1" applyFont="1" applyBorder="1" applyAlignment="1">
      <alignment vertical="top" wrapText="1"/>
      <protection/>
    </xf>
    <xf numFmtId="0" fontId="2" fillId="22" borderId="12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53" applyFont="1" applyFill="1" applyBorder="1" applyAlignment="1">
      <alignment vertical="top" wrapText="1"/>
      <protection/>
    </xf>
    <xf numFmtId="49" fontId="4" fillId="24" borderId="10" xfId="53" applyNumberFormat="1" applyFont="1" applyFill="1" applyBorder="1" applyAlignment="1">
      <alignment horizontal="left" vertical="top" wrapText="1"/>
      <protection/>
    </xf>
    <xf numFmtId="49" fontId="4" fillId="0" borderId="10" xfId="0" applyNumberFormat="1" applyFont="1" applyBorder="1" applyAlignment="1">
      <alignment vertical="top" wrapText="1"/>
    </xf>
    <xf numFmtId="49" fontId="4" fillId="0" borderId="10" xfId="53" applyNumberFormat="1" applyFont="1" applyFill="1" applyBorder="1" applyAlignment="1">
      <alignment vertical="top" wrapText="1"/>
      <protection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/>
    </xf>
    <xf numFmtId="49" fontId="2" fillId="25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NumberFormat="1" applyFont="1" applyBorder="1" applyAlignment="1">
      <alignment vertical="top" wrapText="1"/>
    </xf>
    <xf numFmtId="0" fontId="2" fillId="0" borderId="10" xfId="53" applyFont="1" applyFill="1" applyBorder="1">
      <alignment/>
      <protection/>
    </xf>
    <xf numFmtId="0" fontId="2" fillId="0" borderId="14" xfId="0" applyFont="1" applyFill="1" applyBorder="1" applyAlignment="1">
      <alignment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2" fontId="2" fillId="0" borderId="0" xfId="53" applyNumberFormat="1" applyFont="1" applyFill="1" applyAlignment="1">
      <alignment vertical="center" wrapText="1"/>
      <protection/>
    </xf>
    <xf numFmtId="0" fontId="2" fillId="0" borderId="10" xfId="0" applyFont="1" applyBorder="1" applyAlignment="1">
      <alignment horizontal="justify" wrapText="1"/>
    </xf>
    <xf numFmtId="0" fontId="2" fillId="0" borderId="0" xfId="53" applyBorder="1">
      <alignment/>
      <protection/>
    </xf>
    <xf numFmtId="0" fontId="2" fillId="0" borderId="10" xfId="0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49" fontId="2" fillId="0" borderId="10" xfId="53" applyNumberFormat="1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Border="1" applyAlignment="1">
      <alignment horizontal="center" vertical="top" wrapText="1"/>
    </xf>
    <xf numFmtId="49" fontId="2" fillId="24" borderId="10" xfId="53" applyNumberFormat="1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9" fontId="2" fillId="24" borderId="10" xfId="0" applyNumberFormat="1" applyFont="1" applyFill="1" applyBorder="1" applyAlignment="1">
      <alignment vertical="top" wrapText="1"/>
    </xf>
    <xf numFmtId="0" fontId="2" fillId="0" borderId="10" xfId="54" applyNumberFormat="1" applyFont="1" applyBorder="1" applyAlignment="1">
      <alignment horizontal="left" vertical="top" wrapText="1"/>
      <protection/>
    </xf>
    <xf numFmtId="49" fontId="2" fillId="0" borderId="10" xfId="53" applyNumberFormat="1" applyFont="1" applyBorder="1" applyAlignment="1">
      <alignment vertical="top" wrapText="1"/>
      <protection/>
    </xf>
    <xf numFmtId="0" fontId="2" fillId="25" borderId="10" xfId="53" applyFill="1" applyBorder="1">
      <alignment/>
      <protection/>
    </xf>
    <xf numFmtId="0" fontId="0" fillId="25" borderId="10" xfId="0" applyFill="1" applyBorder="1" applyAlignment="1">
      <alignment/>
    </xf>
    <xf numFmtId="0" fontId="2" fillId="24" borderId="10" xfId="53" applyFill="1" applyBorder="1">
      <alignment/>
      <protection/>
    </xf>
    <xf numFmtId="0" fontId="0" fillId="24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53" applyNumberFormat="1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vertical="top" wrapText="1"/>
      <protection/>
    </xf>
    <xf numFmtId="2" fontId="2" fillId="24" borderId="10" xfId="0" applyNumberFormat="1" applyFont="1" applyFill="1" applyBorder="1" applyAlignment="1">
      <alignment horizontal="center" vertical="top" wrapText="1"/>
    </xf>
    <xf numFmtId="4" fontId="2" fillId="0" borderId="10" xfId="53" applyNumberFormat="1" applyBorder="1">
      <alignment/>
      <protection/>
    </xf>
    <xf numFmtId="4" fontId="2" fillId="0" borderId="10" xfId="53" applyNumberFormat="1" applyFont="1" applyBorder="1">
      <alignment/>
      <protection/>
    </xf>
    <xf numFmtId="4" fontId="2" fillId="0" borderId="10" xfId="53" applyNumberFormat="1" applyFill="1" applyBorder="1">
      <alignment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2" fillId="0" borderId="11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2" fillId="24" borderId="11" xfId="53" applyNumberFormat="1" applyFont="1" applyFill="1" applyBorder="1" applyAlignment="1">
      <alignment horizontal="center" vertical="top" wrapText="1"/>
      <protection/>
    </xf>
    <xf numFmtId="4" fontId="2" fillId="24" borderId="10" xfId="0" applyNumberFormat="1" applyFont="1" applyFill="1" applyBorder="1" applyAlignment="1">
      <alignment horizontal="center" vertical="top" wrapText="1"/>
    </xf>
    <xf numFmtId="4" fontId="2" fillId="0" borderId="10" xfId="53" applyNumberFormat="1" applyFont="1" applyFill="1" applyBorder="1" applyAlignment="1">
      <alignment horizontal="right" vertical="top" wrapText="1"/>
      <protection/>
    </xf>
    <xf numFmtId="0" fontId="2" fillId="24" borderId="10" xfId="53" applyNumberFormat="1" applyFont="1" applyFill="1" applyBorder="1" applyAlignment="1">
      <alignment vertical="top" wrapText="1"/>
      <protection/>
    </xf>
    <xf numFmtId="0" fontId="2" fillId="0" borderId="0" xfId="53" applyAlignment="1">
      <alignment horizontal="center"/>
      <protection/>
    </xf>
    <xf numFmtId="0" fontId="2" fillId="0" borderId="0" xfId="53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24" borderId="10" xfId="53" applyFill="1" applyBorder="1" applyAlignment="1">
      <alignment horizontal="center"/>
      <protection/>
    </xf>
    <xf numFmtId="0" fontId="2" fillId="0" borderId="10" xfId="53" applyFill="1" applyBorder="1" applyAlignment="1">
      <alignment horizontal="center"/>
      <protection/>
    </xf>
    <xf numFmtId="0" fontId="2" fillId="25" borderId="10" xfId="53" applyFill="1" applyBorder="1" applyAlignment="1">
      <alignment horizontal="center"/>
      <protection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4" fontId="2" fillId="0" borderId="10" xfId="53" applyNumberFormat="1" applyBorder="1" applyAlignment="1">
      <alignment horizontal="center"/>
      <protection/>
    </xf>
    <xf numFmtId="4" fontId="2" fillId="0" borderId="10" xfId="53" applyNumberFormat="1" applyFont="1" applyFill="1" applyBorder="1" applyAlignment="1">
      <alignment horizontal="center"/>
      <protection/>
    </xf>
    <xf numFmtId="4" fontId="2" fillId="0" borderId="10" xfId="53" applyNumberFormat="1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" fontId="2" fillId="0" borderId="10" xfId="53" applyNumberFormat="1" applyFill="1" applyBorder="1" applyAlignment="1">
      <alignment horizontal="center"/>
      <protection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4" fillId="0" borderId="10" xfId="53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2" fontId="2" fillId="24" borderId="1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0" xfId="53" applyNumberFormat="1" applyFont="1" applyFill="1" applyBorder="1" applyAlignment="1">
      <alignment horizontal="center" wrapText="1"/>
      <protection/>
    </xf>
    <xf numFmtId="4" fontId="2" fillId="24" borderId="10" xfId="0" applyNumberFormat="1" applyFont="1" applyFill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2" fontId="2" fillId="24" borderId="10" xfId="53" applyNumberFormat="1" applyFill="1" applyBorder="1" applyAlignment="1">
      <alignment horizontal="center"/>
      <protection/>
    </xf>
    <xf numFmtId="2" fontId="2" fillId="0" borderId="10" xfId="53" applyNumberFormat="1" applyBorder="1" applyAlignment="1">
      <alignment horizontal="center"/>
      <protection/>
    </xf>
    <xf numFmtId="0" fontId="2" fillId="0" borderId="10" xfId="0" applyFont="1" applyBorder="1" applyAlignment="1">
      <alignment horizontal="left" vertical="top" wrapText="1"/>
    </xf>
    <xf numFmtId="2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vertical="top"/>
    </xf>
    <xf numFmtId="0" fontId="0" fillId="2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49" fontId="2" fillId="24" borderId="10" xfId="53" applyNumberFormat="1" applyFont="1" applyFill="1" applyBorder="1" applyAlignment="1">
      <alignment vertical="top" wrapText="1"/>
      <protection/>
    </xf>
    <xf numFmtId="4" fontId="2" fillId="24" borderId="10" xfId="53" applyNumberFormat="1" applyFont="1" applyFill="1" applyBorder="1">
      <alignment/>
      <protection/>
    </xf>
    <xf numFmtId="0" fontId="2" fillId="24" borderId="0" xfId="53" applyFill="1">
      <alignment/>
      <protection/>
    </xf>
    <xf numFmtId="0" fontId="2" fillId="24" borderId="10" xfId="53" applyFont="1" applyFill="1" applyBorder="1">
      <alignment/>
      <protection/>
    </xf>
    <xf numFmtId="0" fontId="2" fillId="24" borderId="10" xfId="53" applyFont="1" applyFill="1" applyBorder="1" applyAlignment="1">
      <alignment horizontal="center"/>
      <protection/>
    </xf>
    <xf numFmtId="0" fontId="2" fillId="24" borderId="10" xfId="0" applyFont="1" applyFill="1" applyBorder="1" applyAlignment="1">
      <alignment horizontal="left" vertical="top" wrapText="1"/>
    </xf>
    <xf numFmtId="4" fontId="2" fillId="24" borderId="10" xfId="0" applyNumberFormat="1" applyFont="1" applyFill="1" applyBorder="1" applyAlignment="1">
      <alignment horizontal="right"/>
    </xf>
    <xf numFmtId="4" fontId="2" fillId="24" borderId="10" xfId="53" applyNumberFormat="1" applyFill="1" applyBorder="1">
      <alignment/>
      <protection/>
    </xf>
    <xf numFmtId="4" fontId="2" fillId="24" borderId="10" xfId="53" applyNumberFormat="1" applyFill="1" applyBorder="1" applyAlignment="1">
      <alignment horizontal="center"/>
      <protection/>
    </xf>
    <xf numFmtId="0" fontId="2" fillId="0" borderId="12" xfId="0" applyFont="1" applyBorder="1" applyAlignment="1">
      <alignment vertical="top" wrapText="1"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49" fontId="4" fillId="24" borderId="0" xfId="53" applyNumberFormat="1" applyFont="1" applyFill="1" applyBorder="1" applyAlignment="1">
      <alignment horizontal="center" vertical="top" wrapText="1"/>
      <protection/>
    </xf>
    <xf numFmtId="4" fontId="2" fillId="0" borderId="0" xfId="53" applyNumberFormat="1">
      <alignment/>
      <protection/>
    </xf>
    <xf numFmtId="49" fontId="4" fillId="24" borderId="15" xfId="53" applyNumberFormat="1" applyFont="1" applyFill="1" applyBorder="1" applyAlignment="1">
      <alignment horizontal="center" vertical="top" wrapText="1"/>
      <protection/>
    </xf>
    <xf numFmtId="49" fontId="4" fillId="24" borderId="16" xfId="53" applyNumberFormat="1" applyFont="1" applyFill="1" applyBorder="1" applyAlignment="1">
      <alignment horizontal="center" vertical="top" wrapText="1"/>
      <protection/>
    </xf>
    <xf numFmtId="0" fontId="2" fillId="0" borderId="10" xfId="42" applyFont="1" applyBorder="1" applyAlignment="1" applyProtection="1">
      <alignment wrapText="1"/>
      <protection/>
    </xf>
    <xf numFmtId="4" fontId="2" fillId="25" borderId="10" xfId="53" applyNumberFormat="1" applyFill="1" applyBorder="1" applyAlignment="1">
      <alignment horizontal="center"/>
      <protection/>
    </xf>
    <xf numFmtId="49" fontId="2" fillId="24" borderId="10" xfId="53" applyNumberFormat="1" applyFont="1" applyFill="1" applyBorder="1" applyAlignment="1">
      <alignment vertical="top" wrapText="1"/>
      <protection/>
    </xf>
    <xf numFmtId="49" fontId="2" fillId="24" borderId="10" xfId="53" applyNumberFormat="1" applyFont="1" applyFill="1" applyBorder="1" applyAlignment="1">
      <alignment horizontal="center" vertical="top" wrapText="1"/>
      <protection/>
    </xf>
    <xf numFmtId="4" fontId="2" fillId="24" borderId="10" xfId="53" applyNumberFormat="1" applyFont="1" applyFill="1" applyBorder="1">
      <alignment/>
      <protection/>
    </xf>
    <xf numFmtId="4" fontId="2" fillId="24" borderId="10" xfId="53" applyNumberFormat="1" applyFont="1" applyFill="1" applyBorder="1" applyAlignment="1">
      <alignment horizontal="center"/>
      <protection/>
    </xf>
    <xf numFmtId="0" fontId="2" fillId="24" borderId="10" xfId="0" applyFont="1" applyFill="1" applyBorder="1" applyAlignment="1">
      <alignment vertical="top" wrapText="1"/>
    </xf>
    <xf numFmtId="0" fontId="2" fillId="24" borderId="0" xfId="53" applyFill="1">
      <alignment/>
      <protection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24" borderId="10" xfId="53" applyNumberFormat="1" applyFont="1" applyFill="1" applyBorder="1" applyAlignment="1">
      <alignment horizontal="center" vertical="top" wrapText="1"/>
      <protection/>
    </xf>
    <xf numFmtId="0" fontId="2" fillId="24" borderId="10" xfId="53" applyFill="1" applyBorder="1">
      <alignment/>
      <protection/>
    </xf>
    <xf numFmtId="0" fontId="2" fillId="24" borderId="10" xfId="53" applyFill="1" applyBorder="1" applyAlignment="1">
      <alignment horizontal="center"/>
      <protection/>
    </xf>
    <xf numFmtId="0" fontId="2" fillId="24" borderId="10" xfId="0" applyFont="1" applyFill="1" applyBorder="1" applyAlignment="1">
      <alignment vertical="top" wrapText="1"/>
    </xf>
    <xf numFmtId="0" fontId="2" fillId="24" borderId="10" xfId="53" applyNumberFormat="1" applyFont="1" applyFill="1" applyBorder="1" applyAlignment="1">
      <alignment vertical="top" wrapText="1"/>
      <protection/>
    </xf>
    <xf numFmtId="4" fontId="2" fillId="24" borderId="10" xfId="0" applyNumberFormat="1" applyFont="1" applyFill="1" applyBorder="1" applyAlignment="1">
      <alignment horizontal="right"/>
    </xf>
    <xf numFmtId="4" fontId="2" fillId="24" borderId="10" xfId="53" applyNumberFormat="1" applyFill="1" applyBorder="1" applyAlignment="1">
      <alignment horizontal="center"/>
      <protection/>
    </xf>
    <xf numFmtId="49" fontId="2" fillId="24" borderId="10" xfId="0" applyNumberFormat="1" applyFont="1" applyFill="1" applyBorder="1" applyAlignment="1">
      <alignment horizontal="center" vertical="top" wrapText="1"/>
    </xf>
    <xf numFmtId="4" fontId="2" fillId="24" borderId="10" xfId="53" applyNumberFormat="1" applyFill="1" applyBorder="1">
      <alignment/>
      <protection/>
    </xf>
    <xf numFmtId="0" fontId="2" fillId="24" borderId="10" xfId="0" applyFont="1" applyFill="1" applyBorder="1" applyAlignment="1">
      <alignment horizontal="justify" vertical="top" wrapText="1"/>
    </xf>
    <xf numFmtId="4" fontId="4" fillId="0" borderId="13" xfId="53" applyNumberFormat="1" applyFont="1" applyFill="1" applyBorder="1" applyAlignment="1">
      <alignment horizontal="center" vertical="center"/>
      <protection/>
    </xf>
    <xf numFmtId="4" fontId="4" fillId="0" borderId="17" xfId="53" applyNumberFormat="1" applyFont="1" applyFill="1" applyBorder="1" applyAlignment="1">
      <alignment horizontal="center" vertical="center"/>
      <protection/>
    </xf>
    <xf numFmtId="4" fontId="4" fillId="0" borderId="12" xfId="53" applyNumberFormat="1" applyFont="1" applyFill="1" applyBorder="1" applyAlignment="1">
      <alignment horizontal="center" vertical="center"/>
      <protection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0" xfId="53" applyNumberFormat="1" applyFont="1" applyFill="1" applyBorder="1" applyAlignment="1">
      <alignment horizontal="center" vertical="center" wrapText="1"/>
      <protection/>
    </xf>
    <xf numFmtId="49" fontId="4" fillId="24" borderId="18" xfId="53" applyNumberFormat="1" applyFont="1" applyFill="1" applyBorder="1" applyAlignment="1">
      <alignment horizontal="center" vertical="top" wrapText="1"/>
      <protection/>
    </xf>
    <xf numFmtId="49" fontId="4" fillId="24" borderId="15" xfId="53" applyNumberFormat="1" applyFont="1" applyFill="1" applyBorder="1" applyAlignment="1">
      <alignment horizontal="center" vertical="top" wrapText="1"/>
      <protection/>
    </xf>
    <xf numFmtId="49" fontId="4" fillId="24" borderId="19" xfId="53" applyNumberFormat="1" applyFont="1" applyFill="1" applyBorder="1" applyAlignment="1">
      <alignment horizontal="center" vertical="top" wrapText="1"/>
      <protection/>
    </xf>
    <xf numFmtId="49" fontId="4" fillId="24" borderId="0" xfId="53" applyNumberFormat="1" applyFont="1" applyFill="1" applyBorder="1" applyAlignment="1">
      <alignment horizontal="center" vertical="top" wrapText="1"/>
      <protection/>
    </xf>
    <xf numFmtId="49" fontId="4" fillId="24" borderId="20" xfId="53" applyNumberFormat="1" applyFont="1" applyFill="1" applyBorder="1" applyAlignment="1">
      <alignment horizontal="center" vertical="top" wrapText="1"/>
      <protection/>
    </xf>
    <xf numFmtId="49" fontId="4" fillId="24" borderId="16" xfId="53" applyNumberFormat="1" applyFont="1" applyFill="1" applyBorder="1" applyAlignment="1">
      <alignment horizontal="center" vertical="top" wrapText="1"/>
      <protection/>
    </xf>
    <xf numFmtId="49" fontId="2" fillId="0" borderId="0" xfId="53" applyNumberFormat="1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08-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DEB0128DA12F6A991391BB484C27676828F870A827893936F6B74385748C936DB7C0C672286FF87B0AC43AEb9ZEG" TargetMode="External" /><Relationship Id="rId2" Type="http://schemas.openxmlformats.org/officeDocument/2006/relationships/hyperlink" Target="consultantplus://offline/ref=EDEB0128DA12F6A991391BB484C27676828F870A827893936F6B74385748C936DB7C0C672286FF87B0AC43AEb9ZE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591"/>
  <sheetViews>
    <sheetView tabSelected="1" zoomScale="80" zoomScaleNormal="80" zoomScaleSheetLayoutView="90" zoomScalePageLayoutView="0" workbookViewId="0" topLeftCell="A1">
      <selection activeCell="D5" sqref="D5:Q5"/>
    </sheetView>
  </sheetViews>
  <sheetFormatPr defaultColWidth="10.25390625" defaultRowHeight="12.75"/>
  <cols>
    <col min="1" max="1" width="4.625" style="1" customWidth="1"/>
    <col min="2" max="2" width="47.625" style="22" customWidth="1"/>
    <col min="3" max="3" width="0.12890625" style="13" hidden="1" customWidth="1"/>
    <col min="4" max="4" width="9.25390625" style="50" customWidth="1"/>
    <col min="5" max="5" width="10.125" style="14" customWidth="1"/>
    <col min="6" max="6" width="5.125" style="14" customWidth="1"/>
    <col min="7" max="7" width="7.75390625" style="38" hidden="1" customWidth="1"/>
    <col min="8" max="8" width="7.75390625" style="1" hidden="1" customWidth="1"/>
    <col min="9" max="9" width="10.125" style="38" hidden="1" customWidth="1"/>
    <col min="10" max="10" width="8.75390625" style="1" hidden="1" customWidth="1"/>
    <col min="11" max="11" width="12.875" style="38" hidden="1" customWidth="1"/>
    <col min="12" max="12" width="12.25390625" style="131" hidden="1" customWidth="1"/>
    <col min="13" max="13" width="18.00390625" style="38" hidden="1" customWidth="1"/>
    <col min="14" max="14" width="18.25390625" style="131" hidden="1" customWidth="1"/>
    <col min="15" max="15" width="17.125" style="38" hidden="1" customWidth="1"/>
    <col min="16" max="16" width="0.12890625" style="131" hidden="1" customWidth="1"/>
    <col min="17" max="17" width="18.25390625" style="38" customWidth="1"/>
    <col min="18" max="18" width="27.625" style="1" customWidth="1"/>
    <col min="19" max="16384" width="10.25390625" style="1" customWidth="1"/>
  </cols>
  <sheetData>
    <row r="1" spans="2:17" ht="15.75">
      <c r="B1" s="21"/>
      <c r="C1" s="21"/>
      <c r="D1" s="41"/>
      <c r="E1" s="25"/>
      <c r="F1" s="25"/>
      <c r="G1" s="57"/>
      <c r="I1" s="57"/>
      <c r="K1" s="57"/>
      <c r="M1" s="57"/>
      <c r="O1" s="57"/>
      <c r="Q1" s="57"/>
    </row>
    <row r="2" spans="2:17" ht="15.75" customHeight="1">
      <c r="B2" s="21"/>
      <c r="C2" s="21"/>
      <c r="D2" s="41"/>
      <c r="E2" s="209"/>
      <c r="F2" s="209"/>
      <c r="G2" s="95"/>
      <c r="H2" s="95"/>
      <c r="I2" s="95"/>
      <c r="J2" s="95"/>
      <c r="K2" s="95"/>
      <c r="L2" s="132"/>
      <c r="M2" s="95"/>
      <c r="N2" s="132"/>
      <c r="O2" s="95"/>
      <c r="P2" s="132"/>
      <c r="Q2" s="95"/>
    </row>
    <row r="3" spans="2:17" ht="15.75">
      <c r="B3" s="21"/>
      <c r="C3" s="21"/>
      <c r="D3" s="41"/>
      <c r="E3" s="209"/>
      <c r="F3" s="209"/>
      <c r="G3" s="95"/>
      <c r="H3" s="95"/>
      <c r="I3" s="95"/>
      <c r="J3" s="95"/>
      <c r="K3" s="95"/>
      <c r="L3" s="132"/>
      <c r="M3" s="95"/>
      <c r="N3" s="132"/>
      <c r="O3" s="95"/>
      <c r="P3" s="132"/>
      <c r="Q3" s="95"/>
    </row>
    <row r="4" spans="2:17" ht="3" customHeight="1">
      <c r="B4" s="21"/>
      <c r="C4" s="21"/>
      <c r="D4" s="41"/>
      <c r="E4" s="209"/>
      <c r="F4" s="209"/>
      <c r="G4" s="95"/>
      <c r="H4" s="95"/>
      <c r="I4" s="95"/>
      <c r="J4" s="95"/>
      <c r="K4" s="95"/>
      <c r="L4" s="132"/>
      <c r="M4" s="95"/>
      <c r="N4" s="132"/>
      <c r="O4" s="95"/>
      <c r="P4" s="132"/>
      <c r="Q4" s="95"/>
    </row>
    <row r="5" spans="2:17" ht="55.5" customHeight="1">
      <c r="B5" s="26" t="s">
        <v>0</v>
      </c>
      <c r="C5" s="20"/>
      <c r="D5" s="216" t="s">
        <v>588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2:17" ht="7.5" customHeight="1">
      <c r="B6" s="26"/>
      <c r="C6" s="21"/>
      <c r="D6" s="41"/>
      <c r="E6" s="93"/>
      <c r="F6" s="93"/>
      <c r="G6" s="1"/>
      <c r="I6" s="1"/>
      <c r="K6" s="1"/>
      <c r="M6" s="1"/>
      <c r="O6" s="1"/>
      <c r="Q6" s="1"/>
    </row>
    <row r="7" spans="2:17" ht="18.75" customHeight="1">
      <c r="B7" s="217" t="s">
        <v>271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</row>
    <row r="8" spans="2:17" ht="46.5" customHeight="1">
      <c r="B8" s="217" t="s">
        <v>272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</row>
    <row r="9" spans="2:6" ht="9.75" customHeight="1" hidden="1">
      <c r="B9" s="27"/>
      <c r="C9" s="28"/>
      <c r="D9" s="42"/>
      <c r="E9" s="28"/>
      <c r="F9" s="28"/>
    </row>
    <row r="10" spans="2:6" ht="18.75" customHeight="1" hidden="1">
      <c r="B10" s="35"/>
      <c r="C10" s="36"/>
      <c r="D10" s="43"/>
      <c r="E10" s="36"/>
      <c r="F10" s="36"/>
    </row>
    <row r="11" spans="2:6" ht="15.75">
      <c r="B11" s="37"/>
      <c r="C11" s="21"/>
      <c r="D11" s="41"/>
      <c r="E11" s="25"/>
      <c r="F11" s="25"/>
    </row>
    <row r="12" spans="2:17" ht="66" customHeight="1">
      <c r="B12" s="2" t="s">
        <v>179</v>
      </c>
      <c r="C12" s="2" t="s">
        <v>2</v>
      </c>
      <c r="D12" s="44" t="s">
        <v>180</v>
      </c>
      <c r="E12" s="2" t="s">
        <v>172</v>
      </c>
      <c r="F12" s="2" t="s">
        <v>173</v>
      </c>
      <c r="G12" s="39" t="s">
        <v>174</v>
      </c>
      <c r="H12" s="3"/>
      <c r="I12" s="39" t="s">
        <v>174</v>
      </c>
      <c r="J12" s="3"/>
      <c r="K12" s="39" t="s">
        <v>174</v>
      </c>
      <c r="L12" s="133"/>
      <c r="M12" s="39" t="s">
        <v>174</v>
      </c>
      <c r="N12" s="133"/>
      <c r="O12" s="39" t="s">
        <v>174</v>
      </c>
      <c r="P12" s="133"/>
      <c r="Q12" s="39" t="s">
        <v>174</v>
      </c>
    </row>
    <row r="13" spans="2:17" ht="18" customHeight="1">
      <c r="B13" s="83" t="s">
        <v>3</v>
      </c>
      <c r="C13" s="4" t="s">
        <v>4</v>
      </c>
      <c r="D13" s="45" t="s">
        <v>4</v>
      </c>
      <c r="E13" s="8"/>
      <c r="F13" s="8"/>
      <c r="G13" s="60" t="e">
        <f>SUM(G14+G19+G31+G64+G77+G94+G61+G87+G91)</f>
        <v>#REF!</v>
      </c>
      <c r="H13" s="3"/>
      <c r="I13" s="60">
        <f>SUM(I14+I19+I31+I64+I77+I94+I61+I87+I91)</f>
        <v>88691800</v>
      </c>
      <c r="J13" s="3"/>
      <c r="K13" s="60">
        <f>SUM(K14+K19+K31+K64+K77+K94+K61+K87+K91)</f>
        <v>78733400</v>
      </c>
      <c r="L13" s="133"/>
      <c r="M13" s="60">
        <f>SUM(M14+M19+M31+M64+M77+M94+M61+M87+M91)</f>
        <v>78313400</v>
      </c>
      <c r="N13" s="133"/>
      <c r="O13" s="60">
        <f>SUM(O14+O19+O31+O64+O77+O94+O61+O87+O91)</f>
        <v>83130337.48</v>
      </c>
      <c r="P13" s="133"/>
      <c r="Q13" s="60">
        <f>SUM(Q14+Q19+Q31+Q64+Q77+Q94+Q61+Q87+Q91)</f>
        <v>94383828.08000001</v>
      </c>
    </row>
    <row r="14" spans="2:17" ht="35.25" customHeight="1">
      <c r="B14" s="7" t="s">
        <v>136</v>
      </c>
      <c r="C14" s="5"/>
      <c r="D14" s="46" t="s">
        <v>5</v>
      </c>
      <c r="E14" s="10"/>
      <c r="F14" s="10"/>
      <c r="G14" s="60">
        <f>G15</f>
        <v>0</v>
      </c>
      <c r="H14" s="3"/>
      <c r="I14" s="60">
        <f>I15</f>
        <v>1211025</v>
      </c>
      <c r="J14" s="3"/>
      <c r="K14" s="60">
        <f>K15</f>
        <v>1211025</v>
      </c>
      <c r="L14" s="133"/>
      <c r="M14" s="60">
        <f>M15</f>
        <v>1211025</v>
      </c>
      <c r="N14" s="133"/>
      <c r="O14" s="60">
        <f>O15</f>
        <v>1211025</v>
      </c>
      <c r="P14" s="133"/>
      <c r="Q14" s="60">
        <f>Q15</f>
        <v>1211025</v>
      </c>
    </row>
    <row r="15" spans="2:17" ht="49.5" customHeight="1">
      <c r="B15" s="7" t="s">
        <v>137</v>
      </c>
      <c r="C15" s="4"/>
      <c r="D15" s="46" t="s">
        <v>5</v>
      </c>
      <c r="E15" s="8" t="s">
        <v>119</v>
      </c>
      <c r="F15" s="8"/>
      <c r="G15" s="60">
        <f>G16</f>
        <v>0</v>
      </c>
      <c r="H15" s="3"/>
      <c r="I15" s="60">
        <f>I16</f>
        <v>1211025</v>
      </c>
      <c r="J15" s="3"/>
      <c r="K15" s="60">
        <f>K16</f>
        <v>1211025</v>
      </c>
      <c r="L15" s="133"/>
      <c r="M15" s="60">
        <f>M16</f>
        <v>1211025</v>
      </c>
      <c r="N15" s="133"/>
      <c r="O15" s="60">
        <f>O16</f>
        <v>1211025</v>
      </c>
      <c r="P15" s="133"/>
      <c r="Q15" s="60">
        <f>Q16</f>
        <v>1211025</v>
      </c>
    </row>
    <row r="16" spans="2:17" ht="20.25" customHeight="1">
      <c r="B16" s="7" t="s">
        <v>138</v>
      </c>
      <c r="C16" s="4"/>
      <c r="D16" s="46" t="s">
        <v>5</v>
      </c>
      <c r="E16" s="8" t="s">
        <v>139</v>
      </c>
      <c r="F16" s="8"/>
      <c r="G16" s="60">
        <f>G17+G18</f>
        <v>0</v>
      </c>
      <c r="H16" s="3"/>
      <c r="I16" s="60">
        <f>I17+I18</f>
        <v>1211025</v>
      </c>
      <c r="J16" s="3"/>
      <c r="K16" s="60">
        <f>K17+K18</f>
        <v>1211025</v>
      </c>
      <c r="L16" s="133"/>
      <c r="M16" s="60">
        <f>M17+M18</f>
        <v>1211025</v>
      </c>
      <c r="N16" s="133"/>
      <c r="O16" s="60">
        <f>O17+O18</f>
        <v>1211025</v>
      </c>
      <c r="P16" s="133"/>
      <c r="Q16" s="60">
        <f>Q17+Q18</f>
        <v>1211025</v>
      </c>
    </row>
    <row r="17" spans="2:17" ht="16.5" customHeight="1">
      <c r="B17" s="31" t="s">
        <v>320</v>
      </c>
      <c r="C17" s="4"/>
      <c r="D17" s="46" t="s">
        <v>5</v>
      </c>
      <c r="E17" s="8" t="s">
        <v>139</v>
      </c>
      <c r="F17" s="8" t="s">
        <v>353</v>
      </c>
      <c r="G17" s="79">
        <v>0</v>
      </c>
      <c r="H17" s="3">
        <v>1169925</v>
      </c>
      <c r="I17" s="79">
        <f>G17+H17</f>
        <v>1169925</v>
      </c>
      <c r="J17" s="3">
        <v>0</v>
      </c>
      <c r="K17" s="79">
        <f>I17+J17</f>
        <v>1169925</v>
      </c>
      <c r="L17" s="133"/>
      <c r="M17" s="79">
        <f>K17+L17</f>
        <v>1169925</v>
      </c>
      <c r="N17" s="133"/>
      <c r="O17" s="79">
        <f>M17+N17</f>
        <v>1169925</v>
      </c>
      <c r="P17" s="133"/>
      <c r="Q17" s="79">
        <f>O17+P17</f>
        <v>1169925</v>
      </c>
    </row>
    <row r="18" spans="2:17" ht="32.25" customHeight="1">
      <c r="B18" s="31" t="s">
        <v>321</v>
      </c>
      <c r="C18" s="4"/>
      <c r="D18" s="46" t="s">
        <v>5</v>
      </c>
      <c r="E18" s="8" t="s">
        <v>139</v>
      </c>
      <c r="F18" s="8" t="s">
        <v>354</v>
      </c>
      <c r="G18" s="79">
        <v>0</v>
      </c>
      <c r="H18" s="3">
        <v>41100</v>
      </c>
      <c r="I18" s="79">
        <f>G18+H18</f>
        <v>41100</v>
      </c>
      <c r="J18" s="3">
        <v>0</v>
      </c>
      <c r="K18" s="79">
        <f>I18+J18</f>
        <v>41100</v>
      </c>
      <c r="L18" s="133"/>
      <c r="M18" s="79">
        <f>K18+L18</f>
        <v>41100</v>
      </c>
      <c r="N18" s="133"/>
      <c r="O18" s="79">
        <f>M18+N18</f>
        <v>41100</v>
      </c>
      <c r="P18" s="133"/>
      <c r="Q18" s="79">
        <f>O18+P18</f>
        <v>41100</v>
      </c>
    </row>
    <row r="19" spans="2:17" ht="66" customHeight="1">
      <c r="B19" s="7" t="s">
        <v>140</v>
      </c>
      <c r="C19" s="5"/>
      <c r="D19" s="46" t="s">
        <v>8</v>
      </c>
      <c r="E19" s="10"/>
      <c r="F19" s="10"/>
      <c r="G19" s="60">
        <f>G20+G29</f>
        <v>0</v>
      </c>
      <c r="H19" s="3">
        <v>0</v>
      </c>
      <c r="I19" s="60">
        <f>I20+I29</f>
        <v>1631775</v>
      </c>
      <c r="J19" s="3">
        <v>0</v>
      </c>
      <c r="K19" s="60">
        <f>K20+K29</f>
        <v>1631775</v>
      </c>
      <c r="L19" s="133"/>
      <c r="M19" s="60">
        <f>M20+M29</f>
        <v>1416259</v>
      </c>
      <c r="N19" s="133"/>
      <c r="O19" s="60">
        <f>O20+O29</f>
        <v>1416259</v>
      </c>
      <c r="P19" s="133"/>
      <c r="Q19" s="60">
        <f>Q20+Q29</f>
        <v>1407523.6</v>
      </c>
    </row>
    <row r="20" spans="2:17" ht="48.75" customHeight="1">
      <c r="B20" s="7" t="s">
        <v>137</v>
      </c>
      <c r="C20" s="4"/>
      <c r="D20" s="46" t="s">
        <v>8</v>
      </c>
      <c r="E20" s="8" t="s">
        <v>119</v>
      </c>
      <c r="F20" s="8"/>
      <c r="G20" s="60">
        <f>G21</f>
        <v>0</v>
      </c>
      <c r="H20" s="3"/>
      <c r="I20" s="60">
        <f>I21</f>
        <v>1618775</v>
      </c>
      <c r="J20" s="3"/>
      <c r="K20" s="60">
        <f>K21</f>
        <v>1618775</v>
      </c>
      <c r="L20" s="133"/>
      <c r="M20" s="60">
        <f>M21</f>
        <v>1403259</v>
      </c>
      <c r="N20" s="133"/>
      <c r="O20" s="60">
        <f>O21</f>
        <v>1403259</v>
      </c>
      <c r="P20" s="133"/>
      <c r="Q20" s="60">
        <f>Q21</f>
        <v>1394523.6</v>
      </c>
    </row>
    <row r="21" spans="2:17" ht="18.75" customHeight="1">
      <c r="B21" s="7" t="s">
        <v>9</v>
      </c>
      <c r="C21" s="4"/>
      <c r="D21" s="46" t="s">
        <v>8</v>
      </c>
      <c r="E21" s="8" t="s">
        <v>120</v>
      </c>
      <c r="F21" s="8"/>
      <c r="G21" s="60">
        <f>G24+G25+G26+G27+G22+G23</f>
        <v>0</v>
      </c>
      <c r="H21" s="3">
        <v>0</v>
      </c>
      <c r="I21" s="60">
        <f>I24+I25+I26+I27+I22+I23</f>
        <v>1618775</v>
      </c>
      <c r="J21" s="3">
        <v>0</v>
      </c>
      <c r="K21" s="60">
        <f>K24+K25+K26+K27+K22+K23</f>
        <v>1618775</v>
      </c>
      <c r="L21" s="133"/>
      <c r="M21" s="60">
        <f>M24+M25+M26+M27+M22+M23</f>
        <v>1403259</v>
      </c>
      <c r="N21" s="133"/>
      <c r="O21" s="60">
        <f>O24+O25+O26+O27+O22+O23+O28</f>
        <v>1403259</v>
      </c>
      <c r="P21" s="133"/>
      <c r="Q21" s="60">
        <f>Q24+Q25+Q26+Q27+Q22+Q23+Q28</f>
        <v>1394523.6</v>
      </c>
    </row>
    <row r="22" spans="2:17" ht="18.75" customHeight="1">
      <c r="B22" s="31" t="s">
        <v>320</v>
      </c>
      <c r="C22" s="8" t="s">
        <v>375</v>
      </c>
      <c r="D22" s="8" t="s">
        <v>8</v>
      </c>
      <c r="E22" s="8" t="s">
        <v>120</v>
      </c>
      <c r="F22" s="8" t="s">
        <v>325</v>
      </c>
      <c r="G22" s="79">
        <v>0</v>
      </c>
      <c r="H22" s="3">
        <v>141879</v>
      </c>
      <c r="I22" s="79">
        <f aca="true" t="shared" si="0" ref="I22:K27">G22+H22</f>
        <v>141879</v>
      </c>
      <c r="J22" s="3">
        <v>0</v>
      </c>
      <c r="K22" s="79">
        <f t="shared" si="0"/>
        <v>141879</v>
      </c>
      <c r="L22" s="133"/>
      <c r="M22" s="79">
        <f aca="true" t="shared" si="1" ref="M22:O28">K22+L22</f>
        <v>141879</v>
      </c>
      <c r="N22" s="133">
        <v>-1000</v>
      </c>
      <c r="O22" s="79">
        <f t="shared" si="1"/>
        <v>140879</v>
      </c>
      <c r="P22" s="133"/>
      <c r="Q22" s="79">
        <f aca="true" t="shared" si="2" ref="Q22:Q28">O22+P22</f>
        <v>140879</v>
      </c>
    </row>
    <row r="23" spans="2:17" ht="27" customHeight="1">
      <c r="B23" s="31" t="s">
        <v>321</v>
      </c>
      <c r="C23" s="8" t="s">
        <v>375</v>
      </c>
      <c r="D23" s="8" t="s">
        <v>8</v>
      </c>
      <c r="E23" s="8" t="s">
        <v>120</v>
      </c>
      <c r="F23" s="8" t="s">
        <v>326</v>
      </c>
      <c r="G23" s="79">
        <v>0</v>
      </c>
      <c r="H23" s="3">
        <v>115</v>
      </c>
      <c r="I23" s="79">
        <f t="shared" si="0"/>
        <v>115</v>
      </c>
      <c r="J23" s="3">
        <v>0</v>
      </c>
      <c r="K23" s="79">
        <f t="shared" si="0"/>
        <v>115</v>
      </c>
      <c r="L23" s="133"/>
      <c r="M23" s="79">
        <f t="shared" si="1"/>
        <v>115</v>
      </c>
      <c r="N23" s="133"/>
      <c r="O23" s="79">
        <f t="shared" si="1"/>
        <v>115</v>
      </c>
      <c r="P23" s="133"/>
      <c r="Q23" s="79">
        <f t="shared" si="2"/>
        <v>115</v>
      </c>
    </row>
    <row r="24" spans="2:17" ht="27.75" customHeight="1">
      <c r="B24" s="31" t="s">
        <v>320</v>
      </c>
      <c r="C24" s="4"/>
      <c r="D24" s="46" t="s">
        <v>8</v>
      </c>
      <c r="E24" s="8" t="s">
        <v>120</v>
      </c>
      <c r="F24" s="8" t="s">
        <v>353</v>
      </c>
      <c r="G24" s="79">
        <v>0</v>
      </c>
      <c r="H24" s="3">
        <v>1329958</v>
      </c>
      <c r="I24" s="79">
        <f t="shared" si="0"/>
        <v>1329958</v>
      </c>
      <c r="J24" s="3">
        <v>0</v>
      </c>
      <c r="K24" s="79">
        <f t="shared" si="0"/>
        <v>1329958</v>
      </c>
      <c r="L24" s="157">
        <f>-150000-215516</f>
        <v>-365516</v>
      </c>
      <c r="M24" s="79">
        <f t="shared" si="1"/>
        <v>964442</v>
      </c>
      <c r="N24" s="157">
        <v>0</v>
      </c>
      <c r="O24" s="79">
        <f t="shared" si="1"/>
        <v>964442</v>
      </c>
      <c r="P24" s="157">
        <v>-8735.4</v>
      </c>
      <c r="Q24" s="79">
        <f t="shared" si="2"/>
        <v>955706.6</v>
      </c>
    </row>
    <row r="25" spans="2:17" ht="45" customHeight="1">
      <c r="B25" s="31" t="s">
        <v>321</v>
      </c>
      <c r="C25" s="4"/>
      <c r="D25" s="46" t="s">
        <v>8</v>
      </c>
      <c r="E25" s="8" t="s">
        <v>120</v>
      </c>
      <c r="F25" s="8" t="s">
        <v>354</v>
      </c>
      <c r="G25" s="79">
        <v>0</v>
      </c>
      <c r="H25" s="3">
        <v>10000</v>
      </c>
      <c r="I25" s="79">
        <f t="shared" si="0"/>
        <v>10000</v>
      </c>
      <c r="J25" s="3">
        <v>0</v>
      </c>
      <c r="K25" s="79">
        <f t="shared" si="0"/>
        <v>10000</v>
      </c>
      <c r="L25" s="133"/>
      <c r="M25" s="79">
        <f t="shared" si="1"/>
        <v>10000</v>
      </c>
      <c r="N25" s="133"/>
      <c r="O25" s="79">
        <f t="shared" si="1"/>
        <v>10000</v>
      </c>
      <c r="P25" s="133">
        <v>6000</v>
      </c>
      <c r="Q25" s="79">
        <f t="shared" si="2"/>
        <v>16000</v>
      </c>
    </row>
    <row r="26" spans="2:17" ht="43.5" customHeight="1">
      <c r="B26" s="31" t="s">
        <v>322</v>
      </c>
      <c r="C26" s="4"/>
      <c r="D26" s="46" t="s">
        <v>8</v>
      </c>
      <c r="E26" s="8" t="s">
        <v>120</v>
      </c>
      <c r="F26" s="8" t="s">
        <v>327</v>
      </c>
      <c r="G26" s="60">
        <v>0</v>
      </c>
      <c r="H26" s="3">
        <v>69823</v>
      </c>
      <c r="I26" s="60">
        <f t="shared" si="0"/>
        <v>69823</v>
      </c>
      <c r="J26" s="3">
        <v>0</v>
      </c>
      <c r="K26" s="60">
        <f t="shared" si="0"/>
        <v>69823</v>
      </c>
      <c r="L26" s="133">
        <v>150000</v>
      </c>
      <c r="M26" s="60">
        <f t="shared" si="1"/>
        <v>219823</v>
      </c>
      <c r="N26" s="133"/>
      <c r="O26" s="60">
        <f t="shared" si="1"/>
        <v>219823</v>
      </c>
      <c r="P26" s="133"/>
      <c r="Q26" s="60">
        <f t="shared" si="2"/>
        <v>219823</v>
      </c>
    </row>
    <row r="27" spans="2:17" ht="33" customHeight="1">
      <c r="B27" s="31" t="s">
        <v>382</v>
      </c>
      <c r="C27" s="4"/>
      <c r="D27" s="46" t="s">
        <v>8</v>
      </c>
      <c r="E27" s="8" t="s">
        <v>120</v>
      </c>
      <c r="F27" s="8" t="s">
        <v>328</v>
      </c>
      <c r="G27" s="60">
        <v>0</v>
      </c>
      <c r="H27" s="3">
        <v>67000</v>
      </c>
      <c r="I27" s="60">
        <f t="shared" si="0"/>
        <v>67000</v>
      </c>
      <c r="J27" s="3"/>
      <c r="K27" s="60">
        <f t="shared" si="0"/>
        <v>67000</v>
      </c>
      <c r="L27" s="133"/>
      <c r="M27" s="60">
        <f t="shared" si="1"/>
        <v>67000</v>
      </c>
      <c r="N27" s="133">
        <v>400</v>
      </c>
      <c r="O27" s="60">
        <f t="shared" si="1"/>
        <v>67400</v>
      </c>
      <c r="P27" s="133">
        <v>-6000</v>
      </c>
      <c r="Q27" s="60">
        <f t="shared" si="2"/>
        <v>61400</v>
      </c>
    </row>
    <row r="28" spans="2:17" ht="33" customHeight="1">
      <c r="B28" s="31" t="s">
        <v>324</v>
      </c>
      <c r="C28" s="4"/>
      <c r="D28" s="98" t="s">
        <v>8</v>
      </c>
      <c r="E28" s="97" t="s">
        <v>120</v>
      </c>
      <c r="F28" s="97" t="s">
        <v>329</v>
      </c>
      <c r="G28" s="60"/>
      <c r="H28" s="3"/>
      <c r="I28" s="60"/>
      <c r="J28" s="3"/>
      <c r="K28" s="60"/>
      <c r="L28" s="133"/>
      <c r="M28" s="60"/>
      <c r="N28" s="133">
        <v>600</v>
      </c>
      <c r="O28" s="60">
        <f t="shared" si="1"/>
        <v>600</v>
      </c>
      <c r="P28" s="133"/>
      <c r="Q28" s="60">
        <f t="shared" si="2"/>
        <v>600</v>
      </c>
    </row>
    <row r="29" spans="2:17" ht="33" customHeight="1">
      <c r="B29" s="31" t="s">
        <v>369</v>
      </c>
      <c r="C29" s="4"/>
      <c r="D29" s="46" t="s">
        <v>8</v>
      </c>
      <c r="E29" s="8" t="s">
        <v>306</v>
      </c>
      <c r="F29" s="8"/>
      <c r="G29" s="60">
        <f>G30</f>
        <v>0</v>
      </c>
      <c r="H29" s="3"/>
      <c r="I29" s="60">
        <f>I30</f>
        <v>13000</v>
      </c>
      <c r="J29" s="3"/>
      <c r="K29" s="60">
        <f>K30</f>
        <v>13000</v>
      </c>
      <c r="L29" s="133"/>
      <c r="M29" s="60">
        <f>M30</f>
        <v>13000</v>
      </c>
      <c r="N29" s="133"/>
      <c r="O29" s="60">
        <f>O30</f>
        <v>13000</v>
      </c>
      <c r="P29" s="133"/>
      <c r="Q29" s="60">
        <f>Q30</f>
        <v>13000</v>
      </c>
    </row>
    <row r="30" spans="2:17" ht="17.25" customHeight="1">
      <c r="B30" s="31" t="s">
        <v>334</v>
      </c>
      <c r="C30" s="4"/>
      <c r="D30" s="46" t="s">
        <v>8</v>
      </c>
      <c r="E30" s="8" t="s">
        <v>306</v>
      </c>
      <c r="F30" s="8" t="s">
        <v>335</v>
      </c>
      <c r="G30" s="60">
        <v>0</v>
      </c>
      <c r="H30" s="3">
        <v>13000</v>
      </c>
      <c r="I30" s="60">
        <f>G30+H30</f>
        <v>13000</v>
      </c>
      <c r="J30" s="3">
        <v>0</v>
      </c>
      <c r="K30" s="60">
        <f>I30+J30</f>
        <v>13000</v>
      </c>
      <c r="L30" s="133"/>
      <c r="M30" s="60">
        <f>K30+L30</f>
        <v>13000</v>
      </c>
      <c r="N30" s="133"/>
      <c r="O30" s="60">
        <f>M30+N30</f>
        <v>13000</v>
      </c>
      <c r="P30" s="133"/>
      <c r="Q30" s="60">
        <f>O30+P30</f>
        <v>13000</v>
      </c>
    </row>
    <row r="31" spans="2:17" ht="68.25" customHeight="1">
      <c r="B31" s="7" t="s">
        <v>141</v>
      </c>
      <c r="C31" s="5"/>
      <c r="D31" s="46" t="s">
        <v>11</v>
      </c>
      <c r="E31" s="8"/>
      <c r="F31" s="8"/>
      <c r="G31" s="60">
        <f>G32+G59+G54</f>
        <v>0</v>
      </c>
      <c r="H31" s="3"/>
      <c r="I31" s="60">
        <f>I32+I56+I59</f>
        <v>36674900</v>
      </c>
      <c r="J31" s="3"/>
      <c r="K31" s="60">
        <f>K32+K56+K59</f>
        <v>36484900</v>
      </c>
      <c r="L31" s="133"/>
      <c r="M31" s="60">
        <f>M32+M56+M59</f>
        <v>36332222</v>
      </c>
      <c r="N31" s="133"/>
      <c r="O31" s="60">
        <f>O32+O56+O59</f>
        <v>36240322.46</v>
      </c>
      <c r="P31" s="133"/>
      <c r="Q31" s="60">
        <f>Q32+Q56+Q59</f>
        <v>36240122.46</v>
      </c>
    </row>
    <row r="32" spans="2:17" ht="48.75" customHeight="1">
      <c r="B32" s="7" t="s">
        <v>137</v>
      </c>
      <c r="C32" s="4"/>
      <c r="D32" s="46" t="s">
        <v>11</v>
      </c>
      <c r="E32" s="8" t="s">
        <v>119</v>
      </c>
      <c r="F32" s="8"/>
      <c r="G32" s="60">
        <f>G33+G42+G45</f>
        <v>0</v>
      </c>
      <c r="H32" s="3"/>
      <c r="I32" s="60">
        <f>I33+I42+I45</f>
        <v>36557900</v>
      </c>
      <c r="J32" s="3"/>
      <c r="K32" s="60">
        <f>K33+K42+K45</f>
        <v>36367900</v>
      </c>
      <c r="L32" s="133"/>
      <c r="M32" s="60">
        <f>M33+M42+M45</f>
        <v>36215222</v>
      </c>
      <c r="N32" s="133"/>
      <c r="O32" s="60">
        <f>O33+O42+O45</f>
        <v>36123322.46</v>
      </c>
      <c r="P32" s="133"/>
      <c r="Q32" s="60">
        <f>Q33+Q42+Q45</f>
        <v>36123122.46</v>
      </c>
    </row>
    <row r="33" spans="2:17" ht="21" customHeight="1">
      <c r="B33" s="7" t="s">
        <v>9</v>
      </c>
      <c r="C33" s="4"/>
      <c r="D33" s="46" t="s">
        <v>11</v>
      </c>
      <c r="E33" s="8" t="s">
        <v>120</v>
      </c>
      <c r="F33" s="8"/>
      <c r="G33" s="60">
        <f>G34+G35+G36+G37+G38+G39+G40+G41</f>
        <v>0</v>
      </c>
      <c r="H33" s="3"/>
      <c r="I33" s="60">
        <f>I34+I35+I36+I37+I38+I39+I40+I41</f>
        <v>16051637</v>
      </c>
      <c r="J33" s="3"/>
      <c r="K33" s="60">
        <f>K34+K35+K36+K37+K38+K39+K40+K41</f>
        <v>15861637</v>
      </c>
      <c r="L33" s="133"/>
      <c r="M33" s="60">
        <f>M34+M35+M36+M37+M38+M39+M40+M41</f>
        <v>15742549</v>
      </c>
      <c r="N33" s="133"/>
      <c r="O33" s="60">
        <f>O34+O35+O36+O37+O38+O39+O40+O41</f>
        <v>15732549</v>
      </c>
      <c r="P33" s="133"/>
      <c r="Q33" s="60">
        <f>Q34+Q35+Q36+Q37+Q38+Q39+Q40+Q41</f>
        <v>15732549</v>
      </c>
    </row>
    <row r="34" spans="2:17" ht="15.75">
      <c r="B34" s="31" t="s">
        <v>320</v>
      </c>
      <c r="C34" s="4"/>
      <c r="D34" s="46" t="s">
        <v>11</v>
      </c>
      <c r="E34" s="8" t="s">
        <v>120</v>
      </c>
      <c r="F34" s="8" t="s">
        <v>325</v>
      </c>
      <c r="G34" s="60">
        <v>0</v>
      </c>
      <c r="H34" s="3">
        <v>2233793</v>
      </c>
      <c r="I34" s="60">
        <f aca="true" t="shared" si="3" ref="I34:K41">G34+H34</f>
        <v>2233793</v>
      </c>
      <c r="J34" s="3">
        <v>0</v>
      </c>
      <c r="K34" s="60">
        <f t="shared" si="3"/>
        <v>2233793</v>
      </c>
      <c r="L34" s="133"/>
      <c r="M34" s="60">
        <f aca="true" t="shared" si="4" ref="M34:O41">K34+L34</f>
        <v>2233793</v>
      </c>
      <c r="N34" s="133"/>
      <c r="O34" s="60">
        <f t="shared" si="4"/>
        <v>2233793</v>
      </c>
      <c r="P34" s="133"/>
      <c r="Q34" s="60">
        <f aca="true" t="shared" si="5" ref="Q34:Q41">O34+P34</f>
        <v>2233793</v>
      </c>
    </row>
    <row r="35" spans="2:17" ht="31.5">
      <c r="B35" s="31" t="s">
        <v>321</v>
      </c>
      <c r="C35" s="4"/>
      <c r="D35" s="46" t="s">
        <v>11</v>
      </c>
      <c r="E35" s="8" t="s">
        <v>120</v>
      </c>
      <c r="F35" s="8" t="s">
        <v>326</v>
      </c>
      <c r="G35" s="60">
        <v>0</v>
      </c>
      <c r="H35" s="112">
        <v>1450</v>
      </c>
      <c r="I35" s="60">
        <f t="shared" si="3"/>
        <v>1450</v>
      </c>
      <c r="J35" s="112">
        <v>0</v>
      </c>
      <c r="K35" s="60">
        <f t="shared" si="3"/>
        <v>1450</v>
      </c>
      <c r="L35" s="134"/>
      <c r="M35" s="60">
        <f t="shared" si="4"/>
        <v>1450</v>
      </c>
      <c r="N35" s="134"/>
      <c r="O35" s="60">
        <f t="shared" si="4"/>
        <v>1450</v>
      </c>
      <c r="P35" s="134"/>
      <c r="Q35" s="60">
        <f t="shared" si="5"/>
        <v>1450</v>
      </c>
    </row>
    <row r="36" spans="2:17" ht="15.75">
      <c r="B36" s="31" t="s">
        <v>320</v>
      </c>
      <c r="C36" s="4"/>
      <c r="D36" s="46" t="s">
        <v>11</v>
      </c>
      <c r="E36" s="8" t="s">
        <v>120</v>
      </c>
      <c r="F36" s="8" t="s">
        <v>353</v>
      </c>
      <c r="G36" s="60">
        <v>0</v>
      </c>
      <c r="H36" s="112">
        <v>9071385</v>
      </c>
      <c r="I36" s="60">
        <f t="shared" si="3"/>
        <v>9071385</v>
      </c>
      <c r="J36" s="112">
        <v>0</v>
      </c>
      <c r="K36" s="60">
        <f t="shared" si="3"/>
        <v>9071385</v>
      </c>
      <c r="L36" s="156">
        <f>-85498-33590</f>
        <v>-119088</v>
      </c>
      <c r="M36" s="60">
        <f t="shared" si="4"/>
        <v>8952297</v>
      </c>
      <c r="N36" s="156">
        <v>0</v>
      </c>
      <c r="O36" s="60">
        <f t="shared" si="4"/>
        <v>8952297</v>
      </c>
      <c r="P36" s="156"/>
      <c r="Q36" s="60">
        <f t="shared" si="5"/>
        <v>8952297</v>
      </c>
    </row>
    <row r="37" spans="2:17" ht="31.5">
      <c r="B37" s="31" t="s">
        <v>321</v>
      </c>
      <c r="C37" s="4"/>
      <c r="D37" s="46" t="s">
        <v>11</v>
      </c>
      <c r="E37" s="8" t="s">
        <v>120</v>
      </c>
      <c r="F37" s="8" t="s">
        <v>354</v>
      </c>
      <c r="G37" s="60">
        <v>0</v>
      </c>
      <c r="H37" s="112">
        <v>90000</v>
      </c>
      <c r="I37" s="60">
        <f t="shared" si="3"/>
        <v>90000</v>
      </c>
      <c r="J37" s="112">
        <v>0</v>
      </c>
      <c r="K37" s="60">
        <f t="shared" si="3"/>
        <v>90000</v>
      </c>
      <c r="L37" s="134"/>
      <c r="M37" s="60">
        <f t="shared" si="4"/>
        <v>90000</v>
      </c>
      <c r="N37" s="134"/>
      <c r="O37" s="60">
        <f t="shared" si="4"/>
        <v>90000</v>
      </c>
      <c r="P37" s="134"/>
      <c r="Q37" s="60">
        <f t="shared" si="5"/>
        <v>90000</v>
      </c>
    </row>
    <row r="38" spans="2:17" ht="47.25">
      <c r="B38" s="31" t="s">
        <v>322</v>
      </c>
      <c r="C38" s="4"/>
      <c r="D38" s="46" t="s">
        <v>11</v>
      </c>
      <c r="E38" s="8" t="s">
        <v>120</v>
      </c>
      <c r="F38" s="8" t="s">
        <v>327</v>
      </c>
      <c r="G38" s="60">
        <v>0</v>
      </c>
      <c r="H38" s="112">
        <v>652206</v>
      </c>
      <c r="I38" s="60">
        <f t="shared" si="3"/>
        <v>652206</v>
      </c>
      <c r="J38" s="112">
        <v>0</v>
      </c>
      <c r="K38" s="60">
        <f t="shared" si="3"/>
        <v>652206</v>
      </c>
      <c r="L38" s="134"/>
      <c r="M38" s="60">
        <f t="shared" si="4"/>
        <v>652206</v>
      </c>
      <c r="N38" s="134">
        <v>-10000</v>
      </c>
      <c r="O38" s="60">
        <f t="shared" si="4"/>
        <v>642206</v>
      </c>
      <c r="P38" s="134"/>
      <c r="Q38" s="60">
        <f t="shared" si="5"/>
        <v>642206</v>
      </c>
    </row>
    <row r="39" spans="2:17" ht="31.5">
      <c r="B39" s="31" t="s">
        <v>382</v>
      </c>
      <c r="C39" s="4"/>
      <c r="D39" s="46" t="s">
        <v>11</v>
      </c>
      <c r="E39" s="8" t="s">
        <v>120</v>
      </c>
      <c r="F39" s="8" t="s">
        <v>328</v>
      </c>
      <c r="G39" s="60">
        <v>0</v>
      </c>
      <c r="H39" s="112">
        <v>3992666</v>
      </c>
      <c r="I39" s="60">
        <f t="shared" si="3"/>
        <v>3992666</v>
      </c>
      <c r="J39" s="112">
        <v>-235000</v>
      </c>
      <c r="K39" s="60">
        <f t="shared" si="3"/>
        <v>3757666</v>
      </c>
      <c r="L39" s="134"/>
      <c r="M39" s="60">
        <f t="shared" si="4"/>
        <v>3757666</v>
      </c>
      <c r="N39" s="134">
        <f>10000-10000</f>
        <v>0</v>
      </c>
      <c r="O39" s="60">
        <f t="shared" si="4"/>
        <v>3757666</v>
      </c>
      <c r="P39" s="134"/>
      <c r="Q39" s="60">
        <f t="shared" si="5"/>
        <v>3757666</v>
      </c>
    </row>
    <row r="40" spans="2:17" ht="31.5">
      <c r="B40" s="31" t="s">
        <v>324</v>
      </c>
      <c r="C40" s="4"/>
      <c r="D40" s="46" t="s">
        <v>11</v>
      </c>
      <c r="E40" s="8" t="s">
        <v>120</v>
      </c>
      <c r="F40" s="8" t="s">
        <v>329</v>
      </c>
      <c r="G40" s="60">
        <v>0</v>
      </c>
      <c r="H40" s="3">
        <v>3041</v>
      </c>
      <c r="I40" s="60">
        <f t="shared" si="3"/>
        <v>3041</v>
      </c>
      <c r="J40" s="3">
        <v>45000</v>
      </c>
      <c r="K40" s="60">
        <f t="shared" si="3"/>
        <v>48041</v>
      </c>
      <c r="L40" s="133"/>
      <c r="M40" s="60">
        <f t="shared" si="4"/>
        <v>48041</v>
      </c>
      <c r="N40" s="133"/>
      <c r="O40" s="60">
        <f t="shared" si="4"/>
        <v>48041</v>
      </c>
      <c r="P40" s="133"/>
      <c r="Q40" s="60">
        <f t="shared" si="5"/>
        <v>48041</v>
      </c>
    </row>
    <row r="41" spans="2:17" ht="15.75">
      <c r="B41" s="31" t="s">
        <v>334</v>
      </c>
      <c r="C41" s="4"/>
      <c r="D41" s="46" t="s">
        <v>11</v>
      </c>
      <c r="E41" s="8" t="s">
        <v>120</v>
      </c>
      <c r="F41" s="8" t="s">
        <v>335</v>
      </c>
      <c r="G41" s="60">
        <v>0</v>
      </c>
      <c r="H41" s="3">
        <v>7096</v>
      </c>
      <c r="I41" s="60">
        <f t="shared" si="3"/>
        <v>7096</v>
      </c>
      <c r="J41" s="3">
        <v>0</v>
      </c>
      <c r="K41" s="60">
        <f t="shared" si="3"/>
        <v>7096</v>
      </c>
      <c r="L41" s="133"/>
      <c r="M41" s="60">
        <f t="shared" si="4"/>
        <v>7096</v>
      </c>
      <c r="N41" s="133"/>
      <c r="O41" s="60">
        <f t="shared" si="4"/>
        <v>7096</v>
      </c>
      <c r="P41" s="133"/>
      <c r="Q41" s="60">
        <f t="shared" si="5"/>
        <v>7096</v>
      </c>
    </row>
    <row r="42" spans="2:17" ht="47.25">
      <c r="B42" s="7" t="s">
        <v>142</v>
      </c>
      <c r="C42" s="4"/>
      <c r="D42" s="46" t="s">
        <v>11</v>
      </c>
      <c r="E42" s="8" t="s">
        <v>143</v>
      </c>
      <c r="F42" s="8"/>
      <c r="G42" s="60">
        <f>G43+G44</f>
        <v>0</v>
      </c>
      <c r="H42" s="3"/>
      <c r="I42" s="60">
        <f>I43+I44</f>
        <v>969763</v>
      </c>
      <c r="J42" s="3"/>
      <c r="K42" s="60">
        <f>K43+K44</f>
        <v>969763</v>
      </c>
      <c r="L42" s="133"/>
      <c r="M42" s="60">
        <f>M43+M44</f>
        <v>969763</v>
      </c>
      <c r="N42" s="133"/>
      <c r="O42" s="60">
        <f>O43+O44</f>
        <v>969763</v>
      </c>
      <c r="P42" s="133"/>
      <c r="Q42" s="60">
        <f>Q43+Q44</f>
        <v>969763</v>
      </c>
    </row>
    <row r="43" spans="2:17" ht="19.5" customHeight="1">
      <c r="B43" s="31" t="s">
        <v>320</v>
      </c>
      <c r="C43" s="8" t="s">
        <v>200</v>
      </c>
      <c r="D43" s="8" t="s">
        <v>11</v>
      </c>
      <c r="E43" s="8" t="s">
        <v>143</v>
      </c>
      <c r="F43" s="8" t="s">
        <v>353</v>
      </c>
      <c r="G43" s="60">
        <v>0</v>
      </c>
      <c r="H43" s="112">
        <v>919763</v>
      </c>
      <c r="I43" s="60">
        <f>G43+H43</f>
        <v>919763</v>
      </c>
      <c r="J43" s="112">
        <v>0</v>
      </c>
      <c r="K43" s="60">
        <f>I43+J43</f>
        <v>919763</v>
      </c>
      <c r="L43" s="134"/>
      <c r="M43" s="60">
        <f>K43+L43</f>
        <v>919763</v>
      </c>
      <c r="N43" s="134"/>
      <c r="O43" s="60">
        <f>M43+N43</f>
        <v>919763</v>
      </c>
      <c r="P43" s="134"/>
      <c r="Q43" s="60">
        <f>O43+P43</f>
        <v>919763</v>
      </c>
    </row>
    <row r="44" spans="2:17" ht="34.5" customHeight="1">
      <c r="B44" s="31" t="s">
        <v>321</v>
      </c>
      <c r="C44" s="8" t="s">
        <v>200</v>
      </c>
      <c r="D44" s="8" t="s">
        <v>11</v>
      </c>
      <c r="E44" s="8" t="s">
        <v>143</v>
      </c>
      <c r="F44" s="8" t="s">
        <v>354</v>
      </c>
      <c r="G44" s="60">
        <v>0</v>
      </c>
      <c r="H44" s="112">
        <v>50000</v>
      </c>
      <c r="I44" s="60">
        <f>G44+H44</f>
        <v>50000</v>
      </c>
      <c r="J44" s="112">
        <v>0</v>
      </c>
      <c r="K44" s="60">
        <f>I44+J44</f>
        <v>50000</v>
      </c>
      <c r="L44" s="134"/>
      <c r="M44" s="60">
        <f>K44+L44</f>
        <v>50000</v>
      </c>
      <c r="N44" s="134"/>
      <c r="O44" s="60">
        <f>M44+N44</f>
        <v>50000</v>
      </c>
      <c r="P44" s="134"/>
      <c r="Q44" s="60">
        <f>O44+P44</f>
        <v>50000</v>
      </c>
    </row>
    <row r="45" spans="2:17" ht="15.75">
      <c r="B45" s="7" t="s">
        <v>12</v>
      </c>
      <c r="C45" s="4"/>
      <c r="D45" s="46" t="s">
        <v>11</v>
      </c>
      <c r="E45" s="8" t="s">
        <v>144</v>
      </c>
      <c r="F45" s="8"/>
      <c r="G45" s="60">
        <f>G47+G46+G48+G49+G50+G51+G52+G53</f>
        <v>0</v>
      </c>
      <c r="H45" s="112"/>
      <c r="I45" s="60">
        <f>I47+I46+I48+I49+I50+I51+I52+I53</f>
        <v>19536500</v>
      </c>
      <c r="J45" s="112">
        <v>0</v>
      </c>
      <c r="K45" s="60">
        <f>K47+K46+K48+K49+K50+K51+K52+K53</f>
        <v>19536500</v>
      </c>
      <c r="L45" s="134"/>
      <c r="M45" s="60">
        <f>M47+M46+M48+M49+M50+M51+M52+M53</f>
        <v>19502910</v>
      </c>
      <c r="N45" s="134"/>
      <c r="O45" s="60">
        <f>O47+O46+O48+O49+O50+O51+O52+O53+O58</f>
        <v>19421010.46</v>
      </c>
      <c r="P45" s="134"/>
      <c r="Q45" s="60">
        <f>Q47+Q46+Q48+Q49+Q50+Q51+Q52+Q53+Q58</f>
        <v>19420810.46</v>
      </c>
    </row>
    <row r="46" spans="2:17" ht="16.5" customHeight="1">
      <c r="B46" s="31" t="s">
        <v>320</v>
      </c>
      <c r="C46" s="4"/>
      <c r="D46" s="46" t="s">
        <v>11</v>
      </c>
      <c r="E46" s="8" t="s">
        <v>144</v>
      </c>
      <c r="F46" s="8" t="s">
        <v>325</v>
      </c>
      <c r="G46" s="60">
        <v>0</v>
      </c>
      <c r="H46" s="112">
        <v>1591415</v>
      </c>
      <c r="I46" s="60">
        <f aca="true" t="shared" si="6" ref="I46:K53">G46+H46</f>
        <v>1591415</v>
      </c>
      <c r="J46" s="112">
        <v>0</v>
      </c>
      <c r="K46" s="60">
        <f t="shared" si="6"/>
        <v>1591415</v>
      </c>
      <c r="L46" s="134"/>
      <c r="M46" s="60">
        <f aca="true" t="shared" si="7" ref="M46:O53">K46+L46</f>
        <v>1591415</v>
      </c>
      <c r="N46" s="134"/>
      <c r="O46" s="60">
        <f t="shared" si="7"/>
        <v>1591415</v>
      </c>
      <c r="P46" s="134"/>
      <c r="Q46" s="60">
        <f aca="true" t="shared" si="8" ref="Q46:Q53">O46+P46</f>
        <v>1591415</v>
      </c>
    </row>
    <row r="47" spans="2:17" ht="15" customHeight="1" hidden="1">
      <c r="B47" s="31" t="s">
        <v>321</v>
      </c>
      <c r="C47" s="4"/>
      <c r="D47" s="46" t="s">
        <v>11</v>
      </c>
      <c r="E47" s="8" t="s">
        <v>144</v>
      </c>
      <c r="F47" s="8" t="s">
        <v>326</v>
      </c>
      <c r="G47" s="60">
        <v>0</v>
      </c>
      <c r="H47" s="112"/>
      <c r="I47" s="60">
        <f t="shared" si="6"/>
        <v>0</v>
      </c>
      <c r="J47" s="112"/>
      <c r="K47" s="60">
        <f t="shared" si="6"/>
        <v>0</v>
      </c>
      <c r="L47" s="134"/>
      <c r="M47" s="60">
        <f t="shared" si="7"/>
        <v>0</v>
      </c>
      <c r="N47" s="134"/>
      <c r="O47" s="60">
        <f t="shared" si="7"/>
        <v>0</v>
      </c>
      <c r="P47" s="134"/>
      <c r="Q47" s="60">
        <f t="shared" si="8"/>
        <v>0</v>
      </c>
    </row>
    <row r="48" spans="2:17" ht="18" customHeight="1">
      <c r="B48" s="31" t="s">
        <v>320</v>
      </c>
      <c r="C48" s="4"/>
      <c r="D48" s="46" t="s">
        <v>11</v>
      </c>
      <c r="E48" s="8" t="s">
        <v>144</v>
      </c>
      <c r="F48" s="8" t="s">
        <v>353</v>
      </c>
      <c r="G48" s="60">
        <v>0</v>
      </c>
      <c r="H48" s="112">
        <v>11874980</v>
      </c>
      <c r="I48" s="60">
        <f t="shared" si="6"/>
        <v>11874980</v>
      </c>
      <c r="J48" s="112">
        <v>0</v>
      </c>
      <c r="K48" s="60">
        <f t="shared" si="6"/>
        <v>11874980</v>
      </c>
      <c r="L48" s="134">
        <v>-33590</v>
      </c>
      <c r="M48" s="60">
        <f t="shared" si="7"/>
        <v>11841390</v>
      </c>
      <c r="N48" s="134">
        <f>-5242.54-75402</f>
        <v>-80644.54</v>
      </c>
      <c r="O48" s="60">
        <f t="shared" si="7"/>
        <v>11760745.46</v>
      </c>
      <c r="P48" s="134"/>
      <c r="Q48" s="60">
        <f t="shared" si="8"/>
        <v>11760745.46</v>
      </c>
    </row>
    <row r="49" spans="2:17" ht="19.5" customHeight="1" hidden="1">
      <c r="B49" s="31" t="s">
        <v>321</v>
      </c>
      <c r="C49" s="4"/>
      <c r="D49" s="46" t="s">
        <v>11</v>
      </c>
      <c r="E49" s="8" t="s">
        <v>144</v>
      </c>
      <c r="F49" s="8" t="s">
        <v>354</v>
      </c>
      <c r="G49" s="60">
        <v>0</v>
      </c>
      <c r="H49" s="112">
        <v>0</v>
      </c>
      <c r="I49" s="60">
        <f t="shared" si="6"/>
        <v>0</v>
      </c>
      <c r="J49" s="112">
        <v>0</v>
      </c>
      <c r="K49" s="60">
        <f t="shared" si="6"/>
        <v>0</v>
      </c>
      <c r="L49" s="134"/>
      <c r="M49" s="60">
        <f t="shared" si="7"/>
        <v>0</v>
      </c>
      <c r="N49" s="134"/>
      <c r="O49" s="60">
        <f t="shared" si="7"/>
        <v>0</v>
      </c>
      <c r="P49" s="134"/>
      <c r="Q49" s="60">
        <f t="shared" si="8"/>
        <v>0</v>
      </c>
    </row>
    <row r="50" spans="2:17" ht="47.25">
      <c r="B50" s="31" t="s">
        <v>322</v>
      </c>
      <c r="C50" s="4"/>
      <c r="D50" s="46" t="s">
        <v>11</v>
      </c>
      <c r="E50" s="8" t="s">
        <v>144</v>
      </c>
      <c r="F50" s="8" t="s">
        <v>327</v>
      </c>
      <c r="G50" s="60">
        <v>0</v>
      </c>
      <c r="H50" s="112">
        <v>451681</v>
      </c>
      <c r="I50" s="60">
        <f t="shared" si="6"/>
        <v>451681</v>
      </c>
      <c r="J50" s="112">
        <v>0</v>
      </c>
      <c r="K50" s="60">
        <f t="shared" si="6"/>
        <v>451681</v>
      </c>
      <c r="L50" s="134">
        <v>-5038</v>
      </c>
      <c r="M50" s="60">
        <f t="shared" si="7"/>
        <v>446643</v>
      </c>
      <c r="N50" s="134">
        <f>-21695.92+180+6000</f>
        <v>-15515.919999999998</v>
      </c>
      <c r="O50" s="60">
        <f t="shared" si="7"/>
        <v>431127.08</v>
      </c>
      <c r="P50" s="134">
        <f>-3000+1550</f>
        <v>-1450</v>
      </c>
      <c r="Q50" s="60">
        <f t="shared" si="8"/>
        <v>429677.08</v>
      </c>
    </row>
    <row r="51" spans="2:17" ht="33" customHeight="1">
      <c r="B51" s="31" t="s">
        <v>382</v>
      </c>
      <c r="C51" s="4"/>
      <c r="D51" s="46" t="s">
        <v>11</v>
      </c>
      <c r="E51" s="8" t="s">
        <v>144</v>
      </c>
      <c r="F51" s="8" t="s">
        <v>328</v>
      </c>
      <c r="G51" s="60">
        <v>0</v>
      </c>
      <c r="H51" s="112">
        <v>5618424</v>
      </c>
      <c r="I51" s="60">
        <f t="shared" si="6"/>
        <v>5618424</v>
      </c>
      <c r="J51" s="112">
        <v>0</v>
      </c>
      <c r="K51" s="60">
        <f t="shared" si="6"/>
        <v>5618424</v>
      </c>
      <c r="L51" s="134">
        <v>5038</v>
      </c>
      <c r="M51" s="60">
        <f t="shared" si="7"/>
        <v>5623462</v>
      </c>
      <c r="N51" s="134">
        <f>32061.92-1780-11621-6000</f>
        <v>12660.919999999998</v>
      </c>
      <c r="O51" s="60">
        <f t="shared" si="7"/>
        <v>5636122.92</v>
      </c>
      <c r="P51" s="134">
        <f>2800-1550</f>
        <v>1250</v>
      </c>
      <c r="Q51" s="60">
        <f t="shared" si="8"/>
        <v>5637372.92</v>
      </c>
    </row>
    <row r="52" spans="2:17" ht="19.5" customHeight="1" hidden="1">
      <c r="B52" s="31" t="s">
        <v>324</v>
      </c>
      <c r="C52" s="4"/>
      <c r="D52" s="46" t="s">
        <v>11</v>
      </c>
      <c r="E52" s="8" t="s">
        <v>144</v>
      </c>
      <c r="F52" s="8" t="s">
        <v>329</v>
      </c>
      <c r="G52" s="60">
        <v>0</v>
      </c>
      <c r="H52" s="112">
        <v>0</v>
      </c>
      <c r="I52" s="60">
        <f t="shared" si="6"/>
        <v>0</v>
      </c>
      <c r="J52" s="112">
        <v>0</v>
      </c>
      <c r="K52" s="60">
        <f t="shared" si="6"/>
        <v>0</v>
      </c>
      <c r="L52" s="134"/>
      <c r="M52" s="60">
        <f t="shared" si="7"/>
        <v>0</v>
      </c>
      <c r="N52" s="134"/>
      <c r="O52" s="60">
        <f t="shared" si="7"/>
        <v>0</v>
      </c>
      <c r="P52" s="134"/>
      <c r="Q52" s="60">
        <f t="shared" si="8"/>
        <v>0</v>
      </c>
    </row>
    <row r="53" spans="2:17" ht="18.75" customHeight="1" hidden="1">
      <c r="B53" s="31" t="s">
        <v>334</v>
      </c>
      <c r="C53" s="4"/>
      <c r="D53" s="46" t="s">
        <v>11</v>
      </c>
      <c r="E53" s="8" t="s">
        <v>144</v>
      </c>
      <c r="F53" s="8" t="s">
        <v>335</v>
      </c>
      <c r="G53" s="60">
        <v>0</v>
      </c>
      <c r="H53" s="112">
        <v>0</v>
      </c>
      <c r="I53" s="60">
        <f t="shared" si="6"/>
        <v>0</v>
      </c>
      <c r="J53" s="112">
        <v>0</v>
      </c>
      <c r="K53" s="60">
        <f t="shared" si="6"/>
        <v>0</v>
      </c>
      <c r="L53" s="134"/>
      <c r="M53" s="60">
        <f t="shared" si="7"/>
        <v>0</v>
      </c>
      <c r="N53" s="134"/>
      <c r="O53" s="60">
        <f t="shared" si="7"/>
        <v>0</v>
      </c>
      <c r="P53" s="134"/>
      <c r="Q53" s="60">
        <f t="shared" si="8"/>
        <v>0</v>
      </c>
    </row>
    <row r="54" spans="2:17" ht="19.5" customHeight="1" hidden="1">
      <c r="B54" s="96" t="s">
        <v>446</v>
      </c>
      <c r="C54" s="97" t="s">
        <v>200</v>
      </c>
      <c r="D54" s="97" t="s">
        <v>11</v>
      </c>
      <c r="E54" s="97" t="s">
        <v>447</v>
      </c>
      <c r="F54" s="97"/>
      <c r="G54" s="60">
        <f>G55</f>
        <v>0</v>
      </c>
      <c r="H54" s="3"/>
      <c r="I54" s="60">
        <f>I55</f>
        <v>0</v>
      </c>
      <c r="J54" s="3"/>
      <c r="K54" s="60">
        <f>K55</f>
        <v>0</v>
      </c>
      <c r="L54" s="133"/>
      <c r="M54" s="60">
        <f>M55</f>
        <v>0</v>
      </c>
      <c r="N54" s="133"/>
      <c r="O54" s="60">
        <f>O55</f>
        <v>0</v>
      </c>
      <c r="P54" s="133"/>
      <c r="Q54" s="60">
        <f>Q55</f>
        <v>0</v>
      </c>
    </row>
    <row r="55" spans="2:17" ht="0.75" customHeight="1" hidden="1">
      <c r="B55" s="96" t="s">
        <v>320</v>
      </c>
      <c r="C55" s="97" t="s">
        <v>200</v>
      </c>
      <c r="D55" s="97" t="s">
        <v>11</v>
      </c>
      <c r="E55" s="97" t="s">
        <v>447</v>
      </c>
      <c r="F55" s="97" t="s">
        <v>325</v>
      </c>
      <c r="G55" s="60">
        <v>0</v>
      </c>
      <c r="H55" s="3"/>
      <c r="I55" s="60">
        <f>G55+H55</f>
        <v>0</v>
      </c>
      <c r="J55" s="3"/>
      <c r="K55" s="60">
        <f>I55+J55</f>
        <v>0</v>
      </c>
      <c r="L55" s="133"/>
      <c r="M55" s="60">
        <f>K55+L55</f>
        <v>0</v>
      </c>
      <c r="N55" s="133"/>
      <c r="O55" s="60">
        <f>M55+N55</f>
        <v>0</v>
      </c>
      <c r="P55" s="133"/>
      <c r="Q55" s="60">
        <f>O55+P55</f>
        <v>0</v>
      </c>
    </row>
    <row r="56" spans="2:17" ht="1.5" customHeight="1" hidden="1">
      <c r="B56" s="96" t="s">
        <v>458</v>
      </c>
      <c r="C56" s="97"/>
      <c r="D56" s="97" t="s">
        <v>11</v>
      </c>
      <c r="E56" s="97" t="s">
        <v>457</v>
      </c>
      <c r="F56" s="97"/>
      <c r="G56" s="60"/>
      <c r="H56" s="3"/>
      <c r="I56" s="60">
        <f>I57</f>
        <v>0</v>
      </c>
      <c r="J56" s="3"/>
      <c r="K56" s="60">
        <f>K57</f>
        <v>0</v>
      </c>
      <c r="L56" s="133"/>
      <c r="M56" s="60">
        <f>M57</f>
        <v>0</v>
      </c>
      <c r="N56" s="133"/>
      <c r="O56" s="60">
        <f>O57</f>
        <v>0</v>
      </c>
      <c r="P56" s="133"/>
      <c r="Q56" s="60">
        <f>Q57</f>
        <v>0</v>
      </c>
    </row>
    <row r="57" spans="2:17" ht="19.5" customHeight="1" hidden="1">
      <c r="B57" s="31" t="s">
        <v>382</v>
      </c>
      <c r="C57" s="97"/>
      <c r="D57" s="97" t="s">
        <v>11</v>
      </c>
      <c r="E57" s="97" t="s">
        <v>457</v>
      </c>
      <c r="F57" s="97" t="s">
        <v>328</v>
      </c>
      <c r="G57" s="60"/>
      <c r="H57" s="3">
        <v>0</v>
      </c>
      <c r="I57" s="60">
        <f>G57+H57</f>
        <v>0</v>
      </c>
      <c r="J57" s="3">
        <v>0</v>
      </c>
      <c r="K57" s="60">
        <f>I57+J57</f>
        <v>0</v>
      </c>
      <c r="L57" s="133"/>
      <c r="M57" s="60">
        <f>K57+L57</f>
        <v>0</v>
      </c>
      <c r="N57" s="133"/>
      <c r="O57" s="60">
        <f>M57+N57</f>
        <v>0</v>
      </c>
      <c r="P57" s="133"/>
      <c r="Q57" s="60">
        <f>O57+P57</f>
        <v>0</v>
      </c>
    </row>
    <row r="58" spans="2:17" ht="31.5">
      <c r="B58" s="31" t="s">
        <v>324</v>
      </c>
      <c r="C58" s="97"/>
      <c r="D58" s="97" t="s">
        <v>11</v>
      </c>
      <c r="E58" s="97" t="s">
        <v>144</v>
      </c>
      <c r="F58" s="97" t="s">
        <v>329</v>
      </c>
      <c r="G58" s="60"/>
      <c r="H58" s="3"/>
      <c r="I58" s="60"/>
      <c r="J58" s="3"/>
      <c r="K58" s="60"/>
      <c r="L58" s="133"/>
      <c r="M58" s="60"/>
      <c r="N58" s="133">
        <v>1600</v>
      </c>
      <c r="O58" s="60">
        <f>M58+N58</f>
        <v>1600</v>
      </c>
      <c r="P58" s="133"/>
      <c r="Q58" s="60">
        <f>O58+P58</f>
        <v>1600</v>
      </c>
    </row>
    <row r="59" spans="2:17" ht="47.25">
      <c r="B59" s="96" t="s">
        <v>462</v>
      </c>
      <c r="C59" s="4"/>
      <c r="D59" s="46" t="s">
        <v>11</v>
      </c>
      <c r="E59" s="8" t="s">
        <v>306</v>
      </c>
      <c r="F59" s="8"/>
      <c r="G59" s="60">
        <f>G60</f>
        <v>0</v>
      </c>
      <c r="H59" s="3"/>
      <c r="I59" s="60">
        <f>I60</f>
        <v>117000</v>
      </c>
      <c r="J59" s="3">
        <v>0</v>
      </c>
      <c r="K59" s="60">
        <f>K60</f>
        <v>117000</v>
      </c>
      <c r="L59" s="133"/>
      <c r="M59" s="60">
        <f>M60</f>
        <v>117000</v>
      </c>
      <c r="N59" s="133"/>
      <c r="O59" s="60">
        <f>O60</f>
        <v>117000</v>
      </c>
      <c r="P59" s="133"/>
      <c r="Q59" s="60">
        <f>Q60</f>
        <v>117000</v>
      </c>
    </row>
    <row r="60" spans="2:17" ht="18.75" customHeight="1">
      <c r="B60" s="31" t="s">
        <v>334</v>
      </c>
      <c r="C60" s="4"/>
      <c r="D60" s="46" t="s">
        <v>11</v>
      </c>
      <c r="E60" s="8" t="s">
        <v>306</v>
      </c>
      <c r="F60" s="8" t="s">
        <v>335</v>
      </c>
      <c r="G60" s="60">
        <v>0</v>
      </c>
      <c r="H60" s="3">
        <v>117000</v>
      </c>
      <c r="I60" s="60">
        <f>G60+H60</f>
        <v>117000</v>
      </c>
      <c r="J60" s="3">
        <v>0</v>
      </c>
      <c r="K60" s="60">
        <f>I60+J60</f>
        <v>117000</v>
      </c>
      <c r="L60" s="133"/>
      <c r="M60" s="60">
        <f>K60+L60</f>
        <v>117000</v>
      </c>
      <c r="N60" s="133"/>
      <c r="O60" s="60">
        <f>M60+N60</f>
        <v>117000</v>
      </c>
      <c r="P60" s="133"/>
      <c r="Q60" s="60">
        <f>O60+P60</f>
        <v>117000</v>
      </c>
    </row>
    <row r="61" spans="2:17" ht="0.75" customHeight="1" hidden="1">
      <c r="B61" s="7" t="s">
        <v>13</v>
      </c>
      <c r="C61" s="4"/>
      <c r="D61" s="46" t="s">
        <v>186</v>
      </c>
      <c r="E61" s="8"/>
      <c r="F61" s="8"/>
      <c r="G61" s="60">
        <f>G62</f>
        <v>0</v>
      </c>
      <c r="H61" s="3"/>
      <c r="I61" s="60">
        <f>I62</f>
        <v>0</v>
      </c>
      <c r="J61" s="3"/>
      <c r="K61" s="60">
        <f>K62</f>
        <v>0</v>
      </c>
      <c r="L61" s="133"/>
      <c r="M61" s="60">
        <f>M62</f>
        <v>0</v>
      </c>
      <c r="N61" s="133"/>
      <c r="O61" s="60">
        <f>O62</f>
        <v>0</v>
      </c>
      <c r="P61" s="133"/>
      <c r="Q61" s="60">
        <f>Q62</f>
        <v>0</v>
      </c>
    </row>
    <row r="62" spans="2:17" ht="47.25" hidden="1">
      <c r="B62" s="7" t="s">
        <v>387</v>
      </c>
      <c r="C62" s="4"/>
      <c r="D62" s="46" t="s">
        <v>186</v>
      </c>
      <c r="E62" s="8" t="s">
        <v>187</v>
      </c>
      <c r="F62" s="8"/>
      <c r="G62" s="60">
        <f>G63</f>
        <v>0</v>
      </c>
      <c r="H62" s="3"/>
      <c r="I62" s="60">
        <f>I63</f>
        <v>0</v>
      </c>
      <c r="J62" s="3"/>
      <c r="K62" s="60">
        <f>K63</f>
        <v>0</v>
      </c>
      <c r="L62" s="133"/>
      <c r="M62" s="60">
        <f>M63</f>
        <v>0</v>
      </c>
      <c r="N62" s="133"/>
      <c r="O62" s="60">
        <f>O63</f>
        <v>0</v>
      </c>
      <c r="P62" s="133"/>
      <c r="Q62" s="60">
        <f>Q63</f>
        <v>0</v>
      </c>
    </row>
    <row r="63" spans="2:17" ht="31.5" hidden="1">
      <c r="B63" s="31" t="s">
        <v>382</v>
      </c>
      <c r="C63" s="4"/>
      <c r="D63" s="46" t="s">
        <v>186</v>
      </c>
      <c r="E63" s="8" t="s">
        <v>187</v>
      </c>
      <c r="F63" s="8" t="s">
        <v>328</v>
      </c>
      <c r="G63" s="60">
        <v>0</v>
      </c>
      <c r="H63" s="3"/>
      <c r="I63" s="60">
        <f>G63+H63</f>
        <v>0</v>
      </c>
      <c r="J63" s="3"/>
      <c r="K63" s="60">
        <f>I63+J63</f>
        <v>0</v>
      </c>
      <c r="L63" s="133"/>
      <c r="M63" s="60">
        <f>K63+L63</f>
        <v>0</v>
      </c>
      <c r="N63" s="133"/>
      <c r="O63" s="60">
        <f>M63+N63</f>
        <v>0</v>
      </c>
      <c r="P63" s="133"/>
      <c r="Q63" s="60">
        <f>O63+P63</f>
        <v>0</v>
      </c>
    </row>
    <row r="64" spans="2:17" ht="51.75" customHeight="1">
      <c r="B64" s="7" t="s">
        <v>145</v>
      </c>
      <c r="C64" s="5"/>
      <c r="D64" s="46" t="s">
        <v>14</v>
      </c>
      <c r="E64" s="8"/>
      <c r="F64" s="8"/>
      <c r="G64" s="60">
        <f>G81+G65+G85</f>
        <v>0</v>
      </c>
      <c r="H64" s="3"/>
      <c r="I64" s="60">
        <f>+I81+I65+I85</f>
        <v>8592600</v>
      </c>
      <c r="J64" s="3">
        <v>0</v>
      </c>
      <c r="K64" s="60">
        <f>+K81+K65+K85</f>
        <v>8649100</v>
      </c>
      <c r="L64" s="133"/>
      <c r="M64" s="60">
        <f>+M81+M65+M85</f>
        <v>8649100</v>
      </c>
      <c r="N64" s="133"/>
      <c r="O64" s="60">
        <f>+O81+O65+O85</f>
        <v>8649100</v>
      </c>
      <c r="P64" s="133"/>
      <c r="Q64" s="60">
        <f>+Q81+Q65+Q85</f>
        <v>8649100</v>
      </c>
    </row>
    <row r="65" spans="2:17" ht="51" customHeight="1">
      <c r="B65" s="7" t="s">
        <v>137</v>
      </c>
      <c r="C65" s="4"/>
      <c r="D65" s="46" t="s">
        <v>14</v>
      </c>
      <c r="E65" s="8" t="s">
        <v>119</v>
      </c>
      <c r="F65" s="8"/>
      <c r="G65" s="60">
        <f>SUM(G66+G74)</f>
        <v>0</v>
      </c>
      <c r="H65" s="3"/>
      <c r="I65" s="60">
        <f>SUM(I66+I74)</f>
        <v>8527600</v>
      </c>
      <c r="J65" s="3"/>
      <c r="K65" s="60">
        <f>SUM(K66+K74)</f>
        <v>8584100</v>
      </c>
      <c r="L65" s="133"/>
      <c r="M65" s="60">
        <f>SUM(M66+M74)</f>
        <v>8584100</v>
      </c>
      <c r="N65" s="133"/>
      <c r="O65" s="60">
        <f>SUM(O66+O74)</f>
        <v>8584100</v>
      </c>
      <c r="P65" s="133"/>
      <c r="Q65" s="60">
        <f>SUM(Q66+Q74)</f>
        <v>8584100</v>
      </c>
    </row>
    <row r="66" spans="2:17" ht="15.75">
      <c r="B66" s="7" t="s">
        <v>9</v>
      </c>
      <c r="C66" s="4"/>
      <c r="D66" s="46" t="s">
        <v>14</v>
      </c>
      <c r="E66" s="8" t="s">
        <v>120</v>
      </c>
      <c r="F66" s="8"/>
      <c r="G66" s="60">
        <f>G67+G69+G70+G71+G72+G73+G68</f>
        <v>0</v>
      </c>
      <c r="H66" s="3"/>
      <c r="I66" s="60">
        <f>I67+I69+I70+I71+I72+I73+I68</f>
        <v>7921127</v>
      </c>
      <c r="J66" s="3"/>
      <c r="K66" s="60">
        <f>K67+K69+K70+K71+K72+K73+K68</f>
        <v>7977627</v>
      </c>
      <c r="L66" s="133"/>
      <c r="M66" s="60">
        <f>M67+M69+M70+M71+M72+M73+M68</f>
        <v>7977627</v>
      </c>
      <c r="N66" s="133"/>
      <c r="O66" s="60">
        <f>O67+O69+O70+O71+O72+O73+O68</f>
        <v>7977627</v>
      </c>
      <c r="P66" s="133"/>
      <c r="Q66" s="60">
        <f>Q67+Q69+Q70+Q71+Q72+Q73+Q68</f>
        <v>7977627</v>
      </c>
    </row>
    <row r="67" spans="2:17" ht="18" customHeight="1">
      <c r="B67" s="31" t="s">
        <v>320</v>
      </c>
      <c r="C67" s="8" t="s">
        <v>362</v>
      </c>
      <c r="D67" s="8" t="s">
        <v>14</v>
      </c>
      <c r="E67" s="8" t="s">
        <v>120</v>
      </c>
      <c r="F67" s="8" t="s">
        <v>325</v>
      </c>
      <c r="G67" s="60">
        <v>0</v>
      </c>
      <c r="H67" s="3">
        <v>550815</v>
      </c>
      <c r="I67" s="60">
        <f aca="true" t="shared" si="9" ref="I67:K76">G67+H67</f>
        <v>550815</v>
      </c>
      <c r="J67" s="3">
        <v>0</v>
      </c>
      <c r="K67" s="60">
        <f t="shared" si="9"/>
        <v>550815</v>
      </c>
      <c r="L67" s="133"/>
      <c r="M67" s="60">
        <f aca="true" t="shared" si="10" ref="M67:O73">K67+L67</f>
        <v>550815</v>
      </c>
      <c r="N67" s="133"/>
      <c r="O67" s="60">
        <f t="shared" si="10"/>
        <v>550815</v>
      </c>
      <c r="P67" s="133"/>
      <c r="Q67" s="60">
        <f aca="true" t="shared" si="11" ref="Q67:Q73">O67+P67</f>
        <v>550815</v>
      </c>
    </row>
    <row r="68" spans="2:17" ht="32.25" customHeight="1">
      <c r="B68" s="31" t="s">
        <v>321</v>
      </c>
      <c r="C68" s="8"/>
      <c r="D68" s="8" t="s">
        <v>14</v>
      </c>
      <c r="E68" s="8" t="s">
        <v>120</v>
      </c>
      <c r="F68" s="8" t="s">
        <v>326</v>
      </c>
      <c r="G68" s="60">
        <v>0</v>
      </c>
      <c r="H68" s="3">
        <v>17200</v>
      </c>
      <c r="I68" s="60">
        <f t="shared" si="9"/>
        <v>17200</v>
      </c>
      <c r="J68" s="3">
        <v>0</v>
      </c>
      <c r="K68" s="60">
        <f t="shared" si="9"/>
        <v>17200</v>
      </c>
      <c r="L68" s="133"/>
      <c r="M68" s="60">
        <f t="shared" si="10"/>
        <v>17200</v>
      </c>
      <c r="N68" s="133"/>
      <c r="O68" s="60">
        <f t="shared" si="10"/>
        <v>17200</v>
      </c>
      <c r="P68" s="133"/>
      <c r="Q68" s="60">
        <f t="shared" si="11"/>
        <v>17200</v>
      </c>
    </row>
    <row r="69" spans="2:17" ht="16.5" customHeight="1">
      <c r="B69" s="31" t="s">
        <v>320</v>
      </c>
      <c r="C69" s="8"/>
      <c r="D69" s="8" t="s">
        <v>14</v>
      </c>
      <c r="E69" s="8" t="s">
        <v>120</v>
      </c>
      <c r="F69" s="8" t="s">
        <v>353</v>
      </c>
      <c r="G69" s="60">
        <v>0</v>
      </c>
      <c r="H69" s="3">
        <f>5079385+654122</f>
        <v>5733507</v>
      </c>
      <c r="I69" s="60">
        <f t="shared" si="9"/>
        <v>5733507</v>
      </c>
      <c r="J69" s="3">
        <v>0</v>
      </c>
      <c r="K69" s="60">
        <f t="shared" si="9"/>
        <v>5733507</v>
      </c>
      <c r="L69" s="133"/>
      <c r="M69" s="60">
        <f t="shared" si="10"/>
        <v>5733507</v>
      </c>
      <c r="N69" s="133"/>
      <c r="O69" s="60">
        <f t="shared" si="10"/>
        <v>5733507</v>
      </c>
      <c r="P69" s="133"/>
      <c r="Q69" s="60">
        <f t="shared" si="11"/>
        <v>5733507</v>
      </c>
    </row>
    <row r="70" spans="2:17" ht="31.5">
      <c r="B70" s="31" t="s">
        <v>321</v>
      </c>
      <c r="C70" s="8"/>
      <c r="D70" s="8" t="s">
        <v>14</v>
      </c>
      <c r="E70" s="8" t="s">
        <v>120</v>
      </c>
      <c r="F70" s="8" t="s">
        <v>354</v>
      </c>
      <c r="G70" s="60">
        <v>0</v>
      </c>
      <c r="H70" s="3">
        <f>9600+1945</f>
        <v>11545</v>
      </c>
      <c r="I70" s="60">
        <f t="shared" si="9"/>
        <v>11545</v>
      </c>
      <c r="J70" s="3">
        <v>0</v>
      </c>
      <c r="K70" s="60">
        <f t="shared" si="9"/>
        <v>11545</v>
      </c>
      <c r="L70" s="133"/>
      <c r="M70" s="60">
        <f t="shared" si="10"/>
        <v>11545</v>
      </c>
      <c r="N70" s="133"/>
      <c r="O70" s="60">
        <f t="shared" si="10"/>
        <v>11545</v>
      </c>
      <c r="P70" s="133"/>
      <c r="Q70" s="60">
        <f t="shared" si="11"/>
        <v>11545</v>
      </c>
    </row>
    <row r="71" spans="2:17" ht="47.25">
      <c r="B71" s="31" t="s">
        <v>322</v>
      </c>
      <c r="C71" s="8" t="s">
        <v>362</v>
      </c>
      <c r="D71" s="8" t="s">
        <v>14</v>
      </c>
      <c r="E71" s="8" t="s">
        <v>120</v>
      </c>
      <c r="F71" s="8" t="s">
        <v>327</v>
      </c>
      <c r="G71" s="60">
        <v>0</v>
      </c>
      <c r="H71" s="3">
        <f>938300+26000</f>
        <v>964300</v>
      </c>
      <c r="I71" s="60">
        <f t="shared" si="9"/>
        <v>964300</v>
      </c>
      <c r="J71" s="3">
        <v>0</v>
      </c>
      <c r="K71" s="60">
        <f t="shared" si="9"/>
        <v>964300</v>
      </c>
      <c r="L71" s="133">
        <v>-1000</v>
      </c>
      <c r="M71" s="60">
        <f t="shared" si="10"/>
        <v>963300</v>
      </c>
      <c r="N71" s="133">
        <v>-4500</v>
      </c>
      <c r="O71" s="60">
        <f t="shared" si="10"/>
        <v>958800</v>
      </c>
      <c r="P71" s="133"/>
      <c r="Q71" s="60">
        <f t="shared" si="11"/>
        <v>958800</v>
      </c>
    </row>
    <row r="72" spans="2:17" ht="35.25" customHeight="1">
      <c r="B72" s="31" t="s">
        <v>382</v>
      </c>
      <c r="C72" s="8" t="s">
        <v>362</v>
      </c>
      <c r="D72" s="8" t="s">
        <v>14</v>
      </c>
      <c r="E72" s="8" t="s">
        <v>120</v>
      </c>
      <c r="F72" s="8" t="s">
        <v>328</v>
      </c>
      <c r="G72" s="60">
        <v>0</v>
      </c>
      <c r="H72" s="3">
        <f>615700+27460</f>
        <v>643160</v>
      </c>
      <c r="I72" s="60">
        <f t="shared" si="9"/>
        <v>643160</v>
      </c>
      <c r="J72" s="3">
        <v>56500</v>
      </c>
      <c r="K72" s="60">
        <f t="shared" si="9"/>
        <v>699660</v>
      </c>
      <c r="L72" s="133">
        <v>1000</v>
      </c>
      <c r="M72" s="60">
        <f t="shared" si="10"/>
        <v>700660</v>
      </c>
      <c r="N72" s="133">
        <v>4500</v>
      </c>
      <c r="O72" s="60">
        <f t="shared" si="10"/>
        <v>705160</v>
      </c>
      <c r="P72" s="133"/>
      <c r="Q72" s="60">
        <f t="shared" si="11"/>
        <v>705160</v>
      </c>
    </row>
    <row r="73" spans="2:17" ht="36" customHeight="1">
      <c r="B73" s="31" t="s">
        <v>324</v>
      </c>
      <c r="C73" s="8" t="s">
        <v>362</v>
      </c>
      <c r="D73" s="8" t="s">
        <v>14</v>
      </c>
      <c r="E73" s="8" t="s">
        <v>120</v>
      </c>
      <c r="F73" s="8" t="s">
        <v>329</v>
      </c>
      <c r="G73" s="60">
        <v>0</v>
      </c>
      <c r="H73" s="3">
        <v>600</v>
      </c>
      <c r="I73" s="60">
        <f t="shared" si="9"/>
        <v>600</v>
      </c>
      <c r="J73" s="3">
        <v>0</v>
      </c>
      <c r="K73" s="60">
        <f t="shared" si="9"/>
        <v>600</v>
      </c>
      <c r="L73" s="133"/>
      <c r="M73" s="60">
        <f t="shared" si="10"/>
        <v>600</v>
      </c>
      <c r="N73" s="133"/>
      <c r="O73" s="60">
        <f t="shared" si="10"/>
        <v>600</v>
      </c>
      <c r="P73" s="133"/>
      <c r="Q73" s="60">
        <f t="shared" si="11"/>
        <v>600</v>
      </c>
    </row>
    <row r="74" spans="2:17" ht="20.25" customHeight="1">
      <c r="B74" s="7" t="s">
        <v>146</v>
      </c>
      <c r="C74" s="4"/>
      <c r="D74" s="46" t="s">
        <v>14</v>
      </c>
      <c r="E74" s="8" t="s">
        <v>147</v>
      </c>
      <c r="F74" s="8"/>
      <c r="G74" s="60">
        <f>G76+G75</f>
        <v>0</v>
      </c>
      <c r="H74" s="3"/>
      <c r="I74" s="60">
        <f>I76+I75</f>
        <v>606473</v>
      </c>
      <c r="J74" s="3">
        <v>0</v>
      </c>
      <c r="K74" s="60">
        <f>K76+K75</f>
        <v>606473</v>
      </c>
      <c r="L74" s="133"/>
      <c r="M74" s="60">
        <f>M76+M75</f>
        <v>606473</v>
      </c>
      <c r="N74" s="133"/>
      <c r="O74" s="60">
        <f>O76+O75</f>
        <v>606473</v>
      </c>
      <c r="P74" s="133"/>
      <c r="Q74" s="60">
        <f>Q76+Q75</f>
        <v>606473</v>
      </c>
    </row>
    <row r="75" spans="2:17" ht="20.25" customHeight="1">
      <c r="B75" s="31" t="s">
        <v>320</v>
      </c>
      <c r="C75" s="4"/>
      <c r="D75" s="46" t="s">
        <v>14</v>
      </c>
      <c r="E75" s="8" t="s">
        <v>147</v>
      </c>
      <c r="F75" s="8" t="s">
        <v>353</v>
      </c>
      <c r="G75" s="60">
        <v>0</v>
      </c>
      <c r="H75" s="3">
        <v>603273</v>
      </c>
      <c r="I75" s="60">
        <f t="shared" si="9"/>
        <v>603273</v>
      </c>
      <c r="J75" s="3">
        <v>0</v>
      </c>
      <c r="K75" s="60">
        <f t="shared" si="9"/>
        <v>603273</v>
      </c>
      <c r="L75" s="133"/>
      <c r="M75" s="60">
        <f>K75+L75</f>
        <v>603273</v>
      </c>
      <c r="N75" s="133"/>
      <c r="O75" s="60">
        <f>M75+N75</f>
        <v>603273</v>
      </c>
      <c r="P75" s="133"/>
      <c r="Q75" s="60">
        <f>O75+P75</f>
        <v>603273</v>
      </c>
    </row>
    <row r="76" spans="2:17" ht="31.5" customHeight="1">
      <c r="B76" s="31" t="s">
        <v>321</v>
      </c>
      <c r="C76" s="4"/>
      <c r="D76" s="46" t="s">
        <v>14</v>
      </c>
      <c r="E76" s="8" t="s">
        <v>147</v>
      </c>
      <c r="F76" s="8" t="s">
        <v>354</v>
      </c>
      <c r="G76" s="60">
        <v>0</v>
      </c>
      <c r="H76" s="3">
        <v>3200</v>
      </c>
      <c r="I76" s="60">
        <f t="shared" si="9"/>
        <v>3200</v>
      </c>
      <c r="J76" s="3">
        <v>0</v>
      </c>
      <c r="K76" s="60">
        <f t="shared" si="9"/>
        <v>3200</v>
      </c>
      <c r="L76" s="133"/>
      <c r="M76" s="60">
        <f>K76+L76</f>
        <v>3200</v>
      </c>
      <c r="N76" s="133"/>
      <c r="O76" s="60">
        <f>M76+N76</f>
        <v>3200</v>
      </c>
      <c r="P76" s="133"/>
      <c r="Q76" s="60">
        <f>O76+P76</f>
        <v>3200</v>
      </c>
    </row>
    <row r="77" spans="2:17" ht="31.5" hidden="1">
      <c r="B77" s="7" t="s">
        <v>15</v>
      </c>
      <c r="C77" s="5"/>
      <c r="D77" s="46" t="s">
        <v>148</v>
      </c>
      <c r="E77" s="8"/>
      <c r="F77" s="8"/>
      <c r="G77" s="60">
        <f>G78</f>
        <v>0</v>
      </c>
      <c r="H77" s="3"/>
      <c r="I77" s="60">
        <f>I78</f>
        <v>0</v>
      </c>
      <c r="J77" s="3"/>
      <c r="K77" s="60">
        <f>K78</f>
        <v>0</v>
      </c>
      <c r="L77" s="133"/>
      <c r="M77" s="60">
        <f>M78</f>
        <v>0</v>
      </c>
      <c r="N77" s="133"/>
      <c r="O77" s="60">
        <f>O78</f>
        <v>0</v>
      </c>
      <c r="P77" s="133"/>
      <c r="Q77" s="60">
        <f>Q78</f>
        <v>0</v>
      </c>
    </row>
    <row r="78" spans="2:17" ht="31.5" hidden="1">
      <c r="B78" s="7" t="s">
        <v>102</v>
      </c>
      <c r="C78" s="4"/>
      <c r="D78" s="46" t="s">
        <v>148</v>
      </c>
      <c r="E78" s="8" t="s">
        <v>16</v>
      </c>
      <c r="F78" s="8"/>
      <c r="G78" s="60">
        <f>G79</f>
        <v>0</v>
      </c>
      <c r="H78" s="3"/>
      <c r="I78" s="60">
        <f>I79</f>
        <v>0</v>
      </c>
      <c r="J78" s="3"/>
      <c r="K78" s="60">
        <f>K79</f>
        <v>0</v>
      </c>
      <c r="L78" s="133"/>
      <c r="M78" s="60">
        <f>M79</f>
        <v>0</v>
      </c>
      <c r="N78" s="133"/>
      <c r="O78" s="60">
        <f>O79</f>
        <v>0</v>
      </c>
      <c r="P78" s="133"/>
      <c r="Q78" s="60">
        <f>Q79</f>
        <v>0</v>
      </c>
    </row>
    <row r="79" spans="2:17" ht="31.5" hidden="1">
      <c r="B79" s="7" t="s">
        <v>17</v>
      </c>
      <c r="C79" s="4"/>
      <c r="D79" s="46" t="s">
        <v>148</v>
      </c>
      <c r="E79" s="8" t="s">
        <v>149</v>
      </c>
      <c r="F79" s="8"/>
      <c r="G79" s="60">
        <f>G80</f>
        <v>0</v>
      </c>
      <c r="H79" s="3"/>
      <c r="I79" s="60">
        <f>I80</f>
        <v>0</v>
      </c>
      <c r="J79" s="3"/>
      <c r="K79" s="60">
        <f>K80</f>
        <v>0</v>
      </c>
      <c r="L79" s="133"/>
      <c r="M79" s="60">
        <f>M80</f>
        <v>0</v>
      </c>
      <c r="N79" s="133"/>
      <c r="O79" s="60">
        <f>O80</f>
        <v>0</v>
      </c>
      <c r="P79" s="133"/>
      <c r="Q79" s="60">
        <f>Q80</f>
        <v>0</v>
      </c>
    </row>
    <row r="80" spans="2:17" ht="26.25" customHeight="1" hidden="1">
      <c r="B80" s="7" t="s">
        <v>113</v>
      </c>
      <c r="C80" s="4"/>
      <c r="D80" s="46" t="s">
        <v>148</v>
      </c>
      <c r="E80" s="8" t="s">
        <v>149</v>
      </c>
      <c r="F80" s="8" t="s">
        <v>114</v>
      </c>
      <c r="G80" s="60">
        <v>0</v>
      </c>
      <c r="H80" s="3"/>
      <c r="I80" s="60">
        <v>0</v>
      </c>
      <c r="J80" s="3"/>
      <c r="K80" s="60">
        <v>0</v>
      </c>
      <c r="L80" s="133"/>
      <c r="M80" s="60">
        <v>0</v>
      </c>
      <c r="N80" s="133"/>
      <c r="O80" s="60">
        <v>0</v>
      </c>
      <c r="P80" s="133"/>
      <c r="Q80" s="60">
        <v>0</v>
      </c>
    </row>
    <row r="81" spans="2:17" ht="16.5" customHeight="1" hidden="1">
      <c r="B81" s="58" t="s">
        <v>235</v>
      </c>
      <c r="C81" s="4"/>
      <c r="D81" s="46" t="s">
        <v>14</v>
      </c>
      <c r="E81" s="8" t="s">
        <v>233</v>
      </c>
      <c r="F81" s="8"/>
      <c r="G81" s="60">
        <f>G82</f>
        <v>0</v>
      </c>
      <c r="H81" s="3"/>
      <c r="I81" s="60">
        <f>I82</f>
        <v>0</v>
      </c>
      <c r="J81" s="3"/>
      <c r="K81" s="60">
        <f>K82</f>
        <v>0</v>
      </c>
      <c r="L81" s="133"/>
      <c r="M81" s="60">
        <f>M82</f>
        <v>0</v>
      </c>
      <c r="N81" s="133"/>
      <c r="O81" s="60">
        <f>O82</f>
        <v>0</v>
      </c>
      <c r="P81" s="133"/>
      <c r="Q81" s="60">
        <f>Q82</f>
        <v>0</v>
      </c>
    </row>
    <row r="82" spans="2:17" ht="15" customHeight="1" hidden="1">
      <c r="B82" s="58" t="s">
        <v>236</v>
      </c>
      <c r="C82" s="4"/>
      <c r="D82" s="46" t="s">
        <v>14</v>
      </c>
      <c r="E82" s="8" t="s">
        <v>232</v>
      </c>
      <c r="F82" s="8"/>
      <c r="G82" s="60">
        <f>G83</f>
        <v>0</v>
      </c>
      <c r="H82" s="3"/>
      <c r="I82" s="60">
        <f>I83</f>
        <v>0</v>
      </c>
      <c r="J82" s="3"/>
      <c r="K82" s="60">
        <f>K83</f>
        <v>0</v>
      </c>
      <c r="L82" s="133"/>
      <c r="M82" s="60">
        <f>M83</f>
        <v>0</v>
      </c>
      <c r="N82" s="133"/>
      <c r="O82" s="60">
        <f>O83</f>
        <v>0</v>
      </c>
      <c r="P82" s="133"/>
      <c r="Q82" s="60">
        <f>Q83</f>
        <v>0</v>
      </c>
    </row>
    <row r="83" spans="2:17" ht="15.75" customHeight="1" hidden="1">
      <c r="B83" s="58" t="s">
        <v>253</v>
      </c>
      <c r="C83" s="4"/>
      <c r="D83" s="46" t="s">
        <v>14</v>
      </c>
      <c r="E83" s="8" t="s">
        <v>234</v>
      </c>
      <c r="F83" s="8"/>
      <c r="G83" s="60">
        <f>G84</f>
        <v>0</v>
      </c>
      <c r="H83" s="3"/>
      <c r="I83" s="60">
        <f>I84</f>
        <v>0</v>
      </c>
      <c r="J83" s="3"/>
      <c r="K83" s="60">
        <f>K84</f>
        <v>0</v>
      </c>
      <c r="L83" s="133"/>
      <c r="M83" s="60">
        <f>M84</f>
        <v>0</v>
      </c>
      <c r="N83" s="133"/>
      <c r="O83" s="60">
        <f>O84</f>
        <v>0</v>
      </c>
      <c r="P83" s="133"/>
      <c r="Q83" s="60">
        <f>Q84</f>
        <v>0</v>
      </c>
    </row>
    <row r="84" spans="2:17" ht="37.5" customHeight="1" hidden="1">
      <c r="B84" s="7" t="s">
        <v>37</v>
      </c>
      <c r="C84" s="4"/>
      <c r="D84" s="46" t="s">
        <v>14</v>
      </c>
      <c r="E84" s="8" t="s">
        <v>234</v>
      </c>
      <c r="F84" s="8" t="s">
        <v>38</v>
      </c>
      <c r="G84" s="60">
        <v>0</v>
      </c>
      <c r="H84" s="3"/>
      <c r="I84" s="60">
        <f>G84+H84</f>
        <v>0</v>
      </c>
      <c r="J84" s="3"/>
      <c r="K84" s="60">
        <f>I84+J84</f>
        <v>0</v>
      </c>
      <c r="L84" s="133"/>
      <c r="M84" s="60">
        <f>K84+L84</f>
        <v>0</v>
      </c>
      <c r="N84" s="133"/>
      <c r="O84" s="60">
        <f>M84+N84</f>
        <v>0</v>
      </c>
      <c r="P84" s="133"/>
      <c r="Q84" s="60">
        <f>O84+P84</f>
        <v>0</v>
      </c>
    </row>
    <row r="85" spans="2:17" ht="33.75" customHeight="1">
      <c r="B85" s="96" t="s">
        <v>369</v>
      </c>
      <c r="C85" s="4"/>
      <c r="D85" s="46" t="s">
        <v>14</v>
      </c>
      <c r="E85" s="8" t="s">
        <v>306</v>
      </c>
      <c r="F85" s="8"/>
      <c r="G85" s="60">
        <f>G86</f>
        <v>0</v>
      </c>
      <c r="H85" s="3"/>
      <c r="I85" s="60">
        <f>I86</f>
        <v>65000</v>
      </c>
      <c r="J85" s="3"/>
      <c r="K85" s="60">
        <f>K86</f>
        <v>65000</v>
      </c>
      <c r="L85" s="133"/>
      <c r="M85" s="60">
        <f>M86</f>
        <v>65000</v>
      </c>
      <c r="N85" s="133"/>
      <c r="O85" s="60">
        <f>O86</f>
        <v>65000</v>
      </c>
      <c r="P85" s="133"/>
      <c r="Q85" s="60">
        <f>Q86</f>
        <v>65000</v>
      </c>
    </row>
    <row r="86" spans="2:17" ht="19.5" customHeight="1">
      <c r="B86" s="31" t="s">
        <v>334</v>
      </c>
      <c r="C86" s="4"/>
      <c r="D86" s="46" t="s">
        <v>14</v>
      </c>
      <c r="E86" s="8" t="s">
        <v>306</v>
      </c>
      <c r="F86" s="8" t="s">
        <v>335</v>
      </c>
      <c r="G86" s="60">
        <v>0</v>
      </c>
      <c r="H86" s="3">
        <v>65000</v>
      </c>
      <c r="I86" s="60">
        <f>G86+H86</f>
        <v>65000</v>
      </c>
      <c r="J86" s="3">
        <v>0</v>
      </c>
      <c r="K86" s="60">
        <f>I86+J86</f>
        <v>65000</v>
      </c>
      <c r="L86" s="133"/>
      <c r="M86" s="60">
        <f>K86+L86</f>
        <v>65000</v>
      </c>
      <c r="N86" s="133"/>
      <c r="O86" s="60">
        <f>M86+N86</f>
        <v>65000</v>
      </c>
      <c r="P86" s="133"/>
      <c r="Q86" s="60">
        <f>O86+P86</f>
        <v>65000</v>
      </c>
    </row>
    <row r="87" spans="2:17" ht="33" customHeight="1">
      <c r="B87" s="31" t="s">
        <v>276</v>
      </c>
      <c r="C87" s="8" t="s">
        <v>200</v>
      </c>
      <c r="D87" s="8" t="s">
        <v>277</v>
      </c>
      <c r="E87" s="8"/>
      <c r="F87" s="8"/>
      <c r="G87" s="60" t="e">
        <f>+G88</f>
        <v>#REF!</v>
      </c>
      <c r="H87" s="3"/>
      <c r="I87" s="60">
        <f>+I88</f>
        <v>696000</v>
      </c>
      <c r="J87" s="3"/>
      <c r="K87" s="60">
        <f>+K88</f>
        <v>696000</v>
      </c>
      <c r="L87" s="133"/>
      <c r="M87" s="60">
        <f>+M88</f>
        <v>696000</v>
      </c>
      <c r="N87" s="133"/>
      <c r="O87" s="60">
        <f>+O88</f>
        <v>696000</v>
      </c>
      <c r="P87" s="133"/>
      <c r="Q87" s="60">
        <f>+Q88</f>
        <v>696000</v>
      </c>
    </row>
    <row r="88" spans="2:17" ht="17.25" customHeight="1">
      <c r="B88" s="31" t="s">
        <v>278</v>
      </c>
      <c r="C88" s="8" t="s">
        <v>200</v>
      </c>
      <c r="D88" s="8" t="s">
        <v>277</v>
      </c>
      <c r="E88" s="8" t="s">
        <v>279</v>
      </c>
      <c r="F88" s="8"/>
      <c r="G88" s="60" t="e">
        <f>G89+#REF!</f>
        <v>#REF!</v>
      </c>
      <c r="H88" s="3"/>
      <c r="I88" s="60">
        <f>I89</f>
        <v>696000</v>
      </c>
      <c r="J88" s="3"/>
      <c r="K88" s="60">
        <f>K89</f>
        <v>696000</v>
      </c>
      <c r="L88" s="133"/>
      <c r="M88" s="60">
        <f>M89</f>
        <v>696000</v>
      </c>
      <c r="N88" s="133"/>
      <c r="O88" s="60">
        <f>O89</f>
        <v>696000</v>
      </c>
      <c r="P88" s="133"/>
      <c r="Q88" s="60">
        <f>Q89</f>
        <v>696000</v>
      </c>
    </row>
    <row r="89" spans="2:17" ht="33" customHeight="1">
      <c r="B89" s="31" t="s">
        <v>280</v>
      </c>
      <c r="C89" s="8" t="s">
        <v>200</v>
      </c>
      <c r="D89" s="8" t="s">
        <v>277</v>
      </c>
      <c r="E89" s="8" t="s">
        <v>281</v>
      </c>
      <c r="F89" s="8"/>
      <c r="G89" s="60">
        <f>G90</f>
        <v>0</v>
      </c>
      <c r="H89" s="3"/>
      <c r="I89" s="60">
        <f>I90</f>
        <v>696000</v>
      </c>
      <c r="J89" s="3"/>
      <c r="K89" s="60">
        <f>K90</f>
        <v>696000</v>
      </c>
      <c r="L89" s="133"/>
      <c r="M89" s="60">
        <f>M90</f>
        <v>696000</v>
      </c>
      <c r="N89" s="133"/>
      <c r="O89" s="60">
        <f>O90</f>
        <v>696000</v>
      </c>
      <c r="P89" s="133"/>
      <c r="Q89" s="60">
        <f>Q90</f>
        <v>696000</v>
      </c>
    </row>
    <row r="90" spans="2:17" ht="21" customHeight="1">
      <c r="B90" s="31" t="s">
        <v>334</v>
      </c>
      <c r="C90" s="8" t="s">
        <v>200</v>
      </c>
      <c r="D90" s="8" t="s">
        <v>277</v>
      </c>
      <c r="E90" s="8" t="s">
        <v>281</v>
      </c>
      <c r="F90" s="8" t="s">
        <v>335</v>
      </c>
      <c r="G90" s="60">
        <v>0</v>
      </c>
      <c r="H90" s="3">
        <v>696000</v>
      </c>
      <c r="I90" s="60">
        <f>G90+H90</f>
        <v>696000</v>
      </c>
      <c r="J90" s="3">
        <v>0</v>
      </c>
      <c r="K90" s="60">
        <f>I90+J90</f>
        <v>696000</v>
      </c>
      <c r="L90" s="133"/>
      <c r="M90" s="60">
        <f>K90+L90</f>
        <v>696000</v>
      </c>
      <c r="N90" s="133"/>
      <c r="O90" s="60">
        <f>M90+N90</f>
        <v>696000</v>
      </c>
      <c r="P90" s="133"/>
      <c r="Q90" s="60">
        <f>O90+P90</f>
        <v>696000</v>
      </c>
    </row>
    <row r="91" spans="2:17" ht="20.25" customHeight="1">
      <c r="B91" s="23" t="s">
        <v>307</v>
      </c>
      <c r="C91" s="46" t="s">
        <v>200</v>
      </c>
      <c r="D91" s="46" t="s">
        <v>148</v>
      </c>
      <c r="E91" s="46" t="s">
        <v>308</v>
      </c>
      <c r="F91" s="80"/>
      <c r="G91" s="60">
        <f>G92</f>
        <v>0</v>
      </c>
      <c r="H91" s="40"/>
      <c r="I91" s="60">
        <f>I92</f>
        <v>400000</v>
      </c>
      <c r="J91" s="40"/>
      <c r="K91" s="60">
        <f>K92</f>
        <v>400000</v>
      </c>
      <c r="L91" s="135"/>
      <c r="M91" s="60">
        <f>M92</f>
        <v>200000</v>
      </c>
      <c r="N91" s="135"/>
      <c r="O91" s="60">
        <f>O92</f>
        <v>200000</v>
      </c>
      <c r="P91" s="135"/>
      <c r="Q91" s="60">
        <f>Q92</f>
        <v>200000</v>
      </c>
    </row>
    <row r="92" spans="2:17" ht="19.5" customHeight="1">
      <c r="B92" s="81" t="s">
        <v>309</v>
      </c>
      <c r="C92" s="44" t="s">
        <v>200</v>
      </c>
      <c r="D92" s="46" t="s">
        <v>148</v>
      </c>
      <c r="E92" s="46" t="s">
        <v>308</v>
      </c>
      <c r="F92" s="44"/>
      <c r="G92" s="60">
        <f>G93</f>
        <v>0</v>
      </c>
      <c r="H92" s="40"/>
      <c r="I92" s="60">
        <f>I93</f>
        <v>400000</v>
      </c>
      <c r="J92" s="40"/>
      <c r="K92" s="60">
        <f>K93</f>
        <v>400000</v>
      </c>
      <c r="L92" s="135"/>
      <c r="M92" s="60">
        <f>M93</f>
        <v>200000</v>
      </c>
      <c r="N92" s="135"/>
      <c r="O92" s="60">
        <f>O93</f>
        <v>200000</v>
      </c>
      <c r="P92" s="135"/>
      <c r="Q92" s="60">
        <f>Q93</f>
        <v>200000</v>
      </c>
    </row>
    <row r="93" spans="2:17" ht="18.75" customHeight="1">
      <c r="B93" s="23" t="s">
        <v>307</v>
      </c>
      <c r="C93" s="44" t="s">
        <v>200</v>
      </c>
      <c r="D93" s="46" t="s">
        <v>148</v>
      </c>
      <c r="E93" s="46" t="s">
        <v>308</v>
      </c>
      <c r="F93" s="44" t="s">
        <v>357</v>
      </c>
      <c r="G93" s="60">
        <v>0</v>
      </c>
      <c r="H93" s="40">
        <v>400000</v>
      </c>
      <c r="I93" s="60">
        <f>G93+H93</f>
        <v>400000</v>
      </c>
      <c r="J93" s="40">
        <v>0</v>
      </c>
      <c r="K93" s="60">
        <f>I93+J93</f>
        <v>400000</v>
      </c>
      <c r="L93" s="135">
        <v>-200000</v>
      </c>
      <c r="M93" s="60">
        <f>K93+L93</f>
        <v>200000</v>
      </c>
      <c r="N93" s="135">
        <v>0</v>
      </c>
      <c r="O93" s="60">
        <f>M93+N93</f>
        <v>200000</v>
      </c>
      <c r="P93" s="135"/>
      <c r="Q93" s="60">
        <f>O93+P93</f>
        <v>200000</v>
      </c>
    </row>
    <row r="94" spans="2:17" ht="15.75">
      <c r="B94" s="7" t="s">
        <v>18</v>
      </c>
      <c r="C94" s="5"/>
      <c r="D94" s="46" t="s">
        <v>219</v>
      </c>
      <c r="E94" s="8"/>
      <c r="F94" s="8"/>
      <c r="G94" s="60" t="e">
        <f>SUM(G95+G103+G142+G133+G136+G128+G138+G101)</f>
        <v>#REF!</v>
      </c>
      <c r="H94" s="3"/>
      <c r="I94" s="60">
        <f>SUM(I95+I103+I142+I133+I136+I128+I138+I101+I145+I147)</f>
        <v>39485500</v>
      </c>
      <c r="J94" s="3"/>
      <c r="K94" s="60">
        <f>SUM(K95+K103+K142+K133+K136+K128+K138+K101+K145+K147)</f>
        <v>29660600</v>
      </c>
      <c r="L94" s="133"/>
      <c r="M94" s="60">
        <f>SUM(M95+M103+M142+M133+M136+M128+M138+M101+M145+M147)</f>
        <v>29808794</v>
      </c>
      <c r="N94" s="133"/>
      <c r="O94" s="60">
        <f>SUM(O95+O103+O142+O133+O136+O128+O138+O101+O145+O147)</f>
        <v>34717631.02</v>
      </c>
      <c r="P94" s="133"/>
      <c r="Q94" s="60">
        <f>SUM(Q95+Q103+Q142+Q133+Q136+Q128+Q138+Q101+Q145+Q147)</f>
        <v>45980057.02</v>
      </c>
    </row>
    <row r="95" spans="2:17" ht="51.75" customHeight="1">
      <c r="B95" s="7" t="s">
        <v>137</v>
      </c>
      <c r="C95" s="4"/>
      <c r="D95" s="46" t="s">
        <v>219</v>
      </c>
      <c r="E95" s="4" t="s">
        <v>119</v>
      </c>
      <c r="F95" s="4"/>
      <c r="G95" s="60">
        <f>G96</f>
        <v>0</v>
      </c>
      <c r="H95" s="3"/>
      <c r="I95" s="60">
        <f>I96</f>
        <v>1271100</v>
      </c>
      <c r="J95" s="3"/>
      <c r="K95" s="60">
        <f>K96</f>
        <v>1271100</v>
      </c>
      <c r="L95" s="133"/>
      <c r="M95" s="60">
        <f>M96</f>
        <v>1228115</v>
      </c>
      <c r="N95" s="133"/>
      <c r="O95" s="60">
        <f>O96</f>
        <v>1228115</v>
      </c>
      <c r="P95" s="133"/>
      <c r="Q95" s="60">
        <f>Q96</f>
        <v>1228115</v>
      </c>
    </row>
    <row r="96" spans="2:17" ht="15.75">
      <c r="B96" s="7" t="s">
        <v>9</v>
      </c>
      <c r="C96" s="4"/>
      <c r="D96" s="46" t="s">
        <v>219</v>
      </c>
      <c r="E96" s="4" t="s">
        <v>120</v>
      </c>
      <c r="F96" s="4"/>
      <c r="G96" s="60">
        <f>G97+G98+G99+G100</f>
        <v>0</v>
      </c>
      <c r="H96" s="3"/>
      <c r="I96" s="60">
        <f>I97+I98+I99+I100</f>
        <v>1271100</v>
      </c>
      <c r="J96" s="3"/>
      <c r="K96" s="60">
        <f>K97+K98+K99+K100</f>
        <v>1271100</v>
      </c>
      <c r="L96" s="133"/>
      <c r="M96" s="60">
        <f>M97+M98+M99+M100</f>
        <v>1228115</v>
      </c>
      <c r="N96" s="133"/>
      <c r="O96" s="60">
        <f>O97+O98+O99+O100</f>
        <v>1228115</v>
      </c>
      <c r="P96" s="133"/>
      <c r="Q96" s="60">
        <f>Q97+Q98+Q99+Q100</f>
        <v>1228115</v>
      </c>
    </row>
    <row r="97" spans="2:17" ht="17.25" customHeight="1">
      <c r="B97" s="31" t="s">
        <v>320</v>
      </c>
      <c r="C97" s="8" t="s">
        <v>192</v>
      </c>
      <c r="D97" s="8" t="s">
        <v>219</v>
      </c>
      <c r="E97" s="8" t="s">
        <v>120</v>
      </c>
      <c r="F97" s="8" t="s">
        <v>353</v>
      </c>
      <c r="G97" s="86">
        <v>0</v>
      </c>
      <c r="H97" s="3">
        <v>1143198</v>
      </c>
      <c r="I97" s="86">
        <f>G97+H97</f>
        <v>1143198</v>
      </c>
      <c r="J97" s="3">
        <v>-3816</v>
      </c>
      <c r="K97" s="86">
        <f>I97+J97</f>
        <v>1139382</v>
      </c>
      <c r="L97" s="133">
        <v>-42985</v>
      </c>
      <c r="M97" s="86">
        <f>K97+L97</f>
        <v>1096397</v>
      </c>
      <c r="N97" s="133">
        <v>0</v>
      </c>
      <c r="O97" s="86">
        <f>M97+N97</f>
        <v>1096397</v>
      </c>
      <c r="P97" s="133"/>
      <c r="Q97" s="86">
        <f>O97+P97</f>
        <v>1096397</v>
      </c>
    </row>
    <row r="98" spans="2:17" ht="33.75" customHeight="1">
      <c r="B98" s="31" t="s">
        <v>321</v>
      </c>
      <c r="C98" s="8" t="s">
        <v>192</v>
      </c>
      <c r="D98" s="8" t="s">
        <v>219</v>
      </c>
      <c r="E98" s="8" t="s">
        <v>120</v>
      </c>
      <c r="F98" s="8" t="s">
        <v>354</v>
      </c>
      <c r="G98" s="86">
        <v>0</v>
      </c>
      <c r="H98" s="3">
        <v>3500</v>
      </c>
      <c r="I98" s="86">
        <f>G98+H98</f>
        <v>3500</v>
      </c>
      <c r="J98" s="3">
        <v>0</v>
      </c>
      <c r="K98" s="86">
        <f>I98+J98</f>
        <v>3500</v>
      </c>
      <c r="L98" s="133"/>
      <c r="M98" s="86">
        <f>K98+L98</f>
        <v>3500</v>
      </c>
      <c r="N98" s="133"/>
      <c r="O98" s="86">
        <f>M98+N98</f>
        <v>3500</v>
      </c>
      <c r="P98" s="133"/>
      <c r="Q98" s="86">
        <f>O98+P98</f>
        <v>3500</v>
      </c>
    </row>
    <row r="99" spans="2:17" ht="47.25">
      <c r="B99" s="31" t="s">
        <v>322</v>
      </c>
      <c r="C99" s="8" t="s">
        <v>192</v>
      </c>
      <c r="D99" s="8" t="s">
        <v>219</v>
      </c>
      <c r="E99" s="8" t="s">
        <v>120</v>
      </c>
      <c r="F99" s="8" t="s">
        <v>327</v>
      </c>
      <c r="G99" s="86">
        <v>0</v>
      </c>
      <c r="H99" s="3">
        <v>89500</v>
      </c>
      <c r="I99" s="86">
        <f>G99+H99</f>
        <v>89500</v>
      </c>
      <c r="J99" s="3">
        <v>0</v>
      </c>
      <c r="K99" s="86">
        <f>I99+J99</f>
        <v>89500</v>
      </c>
      <c r="L99" s="133">
        <v>-1800</v>
      </c>
      <c r="M99" s="86">
        <f>K99+L99</f>
        <v>87700</v>
      </c>
      <c r="N99" s="133">
        <v>0</v>
      </c>
      <c r="O99" s="86">
        <f>M99+N99</f>
        <v>87700</v>
      </c>
      <c r="P99" s="133"/>
      <c r="Q99" s="86">
        <f>O99+P99</f>
        <v>87700</v>
      </c>
    </row>
    <row r="100" spans="2:17" ht="33" customHeight="1">
      <c r="B100" s="31" t="s">
        <v>382</v>
      </c>
      <c r="C100" s="8" t="s">
        <v>192</v>
      </c>
      <c r="D100" s="8" t="s">
        <v>219</v>
      </c>
      <c r="E100" s="8" t="s">
        <v>120</v>
      </c>
      <c r="F100" s="8" t="s">
        <v>328</v>
      </c>
      <c r="G100" s="86">
        <v>0</v>
      </c>
      <c r="H100" s="3">
        <v>34902</v>
      </c>
      <c r="I100" s="86">
        <f>G100+H100</f>
        <v>34902</v>
      </c>
      <c r="J100" s="3">
        <v>3816</v>
      </c>
      <c r="K100" s="86">
        <f>I100+J100</f>
        <v>38718</v>
      </c>
      <c r="L100" s="133">
        <v>1800</v>
      </c>
      <c r="M100" s="86">
        <f>K100+L100</f>
        <v>40518</v>
      </c>
      <c r="N100" s="133">
        <v>0</v>
      </c>
      <c r="O100" s="86">
        <f>M100+N100</f>
        <v>40518</v>
      </c>
      <c r="P100" s="133"/>
      <c r="Q100" s="86">
        <f>O100+P100</f>
        <v>40518</v>
      </c>
    </row>
    <row r="101" spans="2:17" ht="19.5" customHeight="1" hidden="1">
      <c r="B101" s="81" t="s">
        <v>309</v>
      </c>
      <c r="C101" s="5"/>
      <c r="D101" s="46" t="s">
        <v>219</v>
      </c>
      <c r="E101" s="8" t="s">
        <v>308</v>
      </c>
      <c r="F101" s="8"/>
      <c r="G101" s="86">
        <f>G102</f>
        <v>0</v>
      </c>
      <c r="H101" s="3"/>
      <c r="I101" s="86">
        <f>I102</f>
        <v>0</v>
      </c>
      <c r="J101" s="3"/>
      <c r="K101" s="86">
        <f>K102</f>
        <v>0</v>
      </c>
      <c r="L101" s="133"/>
      <c r="M101" s="86">
        <f>M102</f>
        <v>0</v>
      </c>
      <c r="N101" s="133"/>
      <c r="O101" s="86">
        <f>O102</f>
        <v>0</v>
      </c>
      <c r="P101" s="133"/>
      <c r="Q101" s="86">
        <f>Q102</f>
        <v>0</v>
      </c>
    </row>
    <row r="102" spans="2:17" ht="20.25" customHeight="1" hidden="1">
      <c r="B102" s="90" t="s">
        <v>334</v>
      </c>
      <c r="C102" s="5"/>
      <c r="D102" s="46" t="s">
        <v>219</v>
      </c>
      <c r="E102" s="8" t="s">
        <v>308</v>
      </c>
      <c r="F102" s="8" t="s">
        <v>335</v>
      </c>
      <c r="G102" s="86">
        <v>0</v>
      </c>
      <c r="H102" s="3">
        <v>0</v>
      </c>
      <c r="I102" s="86">
        <f>G102+H102</f>
        <v>0</v>
      </c>
      <c r="J102" s="3">
        <v>0</v>
      </c>
      <c r="K102" s="86">
        <f>I102+J102</f>
        <v>0</v>
      </c>
      <c r="L102" s="133"/>
      <c r="M102" s="86">
        <f>K102+L102</f>
        <v>0</v>
      </c>
      <c r="N102" s="133"/>
      <c r="O102" s="86">
        <f>M102+N102</f>
        <v>0</v>
      </c>
      <c r="P102" s="133"/>
      <c r="Q102" s="86">
        <f>O102+P102</f>
        <v>0</v>
      </c>
    </row>
    <row r="103" spans="2:17" ht="67.5" customHeight="1">
      <c r="B103" s="7" t="s">
        <v>151</v>
      </c>
      <c r="C103" s="7"/>
      <c r="D103" s="46" t="s">
        <v>219</v>
      </c>
      <c r="E103" s="4" t="s">
        <v>19</v>
      </c>
      <c r="F103" s="4"/>
      <c r="G103" s="60">
        <f>SUM(G109+G123+G104+G107)</f>
        <v>0</v>
      </c>
      <c r="H103" s="3"/>
      <c r="I103" s="60">
        <f>SUM(I109+I123+I104+I107)</f>
        <v>36952900</v>
      </c>
      <c r="J103" s="3"/>
      <c r="K103" s="60">
        <f>SUM(K109+K123+K104+K107)</f>
        <v>27028000</v>
      </c>
      <c r="L103" s="133"/>
      <c r="M103" s="60">
        <f>SUM(M109+M123+M104+M107)</f>
        <v>27219179</v>
      </c>
      <c r="N103" s="133"/>
      <c r="O103" s="60">
        <f>SUM(O109+O123+O104+O107)</f>
        <v>32098016.020000003</v>
      </c>
      <c r="P103" s="133"/>
      <c r="Q103" s="60">
        <f>SUM(Q109+Q123+Q104+Q107)</f>
        <v>43460442.02</v>
      </c>
    </row>
    <row r="104" spans="2:17" ht="47.25">
      <c r="B104" s="31" t="s">
        <v>424</v>
      </c>
      <c r="C104" s="8"/>
      <c r="D104" s="8" t="s">
        <v>219</v>
      </c>
      <c r="E104" s="8" t="s">
        <v>427</v>
      </c>
      <c r="F104" s="8"/>
      <c r="G104" s="79">
        <f>G105+G106</f>
        <v>0</v>
      </c>
      <c r="H104" s="3"/>
      <c r="I104" s="79">
        <f>I105+I106</f>
        <v>208000</v>
      </c>
      <c r="J104" s="3"/>
      <c r="K104" s="79">
        <f>K105+K106</f>
        <v>647000</v>
      </c>
      <c r="L104" s="133"/>
      <c r="M104" s="79">
        <f>M105+M106</f>
        <v>268000</v>
      </c>
      <c r="N104" s="133"/>
      <c r="O104" s="79">
        <f>O105+O106</f>
        <v>268000</v>
      </c>
      <c r="P104" s="133"/>
      <c r="Q104" s="79">
        <f>Q105+Q106</f>
        <v>268000</v>
      </c>
    </row>
    <row r="105" spans="2:17" ht="33.75" customHeight="1" hidden="1">
      <c r="B105" s="30" t="s">
        <v>332</v>
      </c>
      <c r="C105" s="8"/>
      <c r="D105" s="8" t="s">
        <v>219</v>
      </c>
      <c r="E105" s="8" t="s">
        <v>427</v>
      </c>
      <c r="F105" s="8" t="s">
        <v>331</v>
      </c>
      <c r="G105" s="79">
        <v>0</v>
      </c>
      <c r="H105" s="3">
        <v>0</v>
      </c>
      <c r="I105" s="79">
        <f>G105+H105</f>
        <v>0</v>
      </c>
      <c r="J105" s="3">
        <v>0</v>
      </c>
      <c r="K105" s="79">
        <f>I105+J105</f>
        <v>0</v>
      </c>
      <c r="L105" s="133"/>
      <c r="M105" s="79">
        <f>K105+L105</f>
        <v>0</v>
      </c>
      <c r="N105" s="133"/>
      <c r="O105" s="79">
        <f>M105+N105</f>
        <v>0</v>
      </c>
      <c r="P105" s="133"/>
      <c r="Q105" s="79">
        <f>O105+P105</f>
        <v>0</v>
      </c>
    </row>
    <row r="106" spans="2:17" ht="37.5" customHeight="1">
      <c r="B106" s="31" t="s">
        <v>382</v>
      </c>
      <c r="C106" s="8"/>
      <c r="D106" s="8" t="s">
        <v>219</v>
      </c>
      <c r="E106" s="8" t="s">
        <v>427</v>
      </c>
      <c r="F106" s="8" t="s">
        <v>328</v>
      </c>
      <c r="G106" s="79">
        <v>0</v>
      </c>
      <c r="H106" s="110">
        <v>208000</v>
      </c>
      <c r="I106" s="79">
        <f>G106+H106</f>
        <v>208000</v>
      </c>
      <c r="J106" s="110">
        <v>439000</v>
      </c>
      <c r="K106" s="79">
        <f>I106+J106</f>
        <v>647000</v>
      </c>
      <c r="L106" s="136">
        <v>-379000</v>
      </c>
      <c r="M106" s="79">
        <f>K106+L106</f>
        <v>268000</v>
      </c>
      <c r="N106" s="136">
        <v>0</v>
      </c>
      <c r="O106" s="79">
        <f>M106+N106</f>
        <v>268000</v>
      </c>
      <c r="P106" s="134"/>
      <c r="Q106" s="79">
        <f>O106+P106</f>
        <v>268000</v>
      </c>
    </row>
    <row r="107" spans="2:17" ht="31.5">
      <c r="B107" s="96" t="s">
        <v>442</v>
      </c>
      <c r="C107" s="8"/>
      <c r="D107" s="97" t="s">
        <v>219</v>
      </c>
      <c r="E107" s="97" t="s">
        <v>443</v>
      </c>
      <c r="F107" s="8"/>
      <c r="G107" s="79">
        <f>G108</f>
        <v>0</v>
      </c>
      <c r="H107" s="3"/>
      <c r="I107" s="79">
        <f>I108</f>
        <v>0</v>
      </c>
      <c r="J107" s="3"/>
      <c r="K107" s="79">
        <f>K108</f>
        <v>3720000</v>
      </c>
      <c r="L107" s="133"/>
      <c r="M107" s="79">
        <f>M108</f>
        <v>3720000</v>
      </c>
      <c r="N107" s="133"/>
      <c r="O107" s="79">
        <f>O108</f>
        <v>3720000</v>
      </c>
      <c r="P107" s="133"/>
      <c r="Q107" s="79">
        <f>Q108</f>
        <v>3720000</v>
      </c>
    </row>
    <row r="108" spans="2:17" ht="47.25">
      <c r="B108" s="96" t="s">
        <v>384</v>
      </c>
      <c r="C108" s="8"/>
      <c r="D108" s="97" t="s">
        <v>219</v>
      </c>
      <c r="E108" s="97" t="s">
        <v>443</v>
      </c>
      <c r="F108" s="97" t="s">
        <v>383</v>
      </c>
      <c r="G108" s="79">
        <v>0</v>
      </c>
      <c r="H108" s="3">
        <v>0</v>
      </c>
      <c r="I108" s="79">
        <f>G108+H108</f>
        <v>0</v>
      </c>
      <c r="J108" s="3">
        <v>3720000</v>
      </c>
      <c r="K108" s="79">
        <f>I108+J108</f>
        <v>3720000</v>
      </c>
      <c r="L108" s="133"/>
      <c r="M108" s="79">
        <f>K108+L108</f>
        <v>3720000</v>
      </c>
      <c r="N108" s="133"/>
      <c r="O108" s="79">
        <f>M108+N108</f>
        <v>3720000</v>
      </c>
      <c r="P108" s="133"/>
      <c r="Q108" s="79">
        <f>O108+P108</f>
        <v>3720000</v>
      </c>
    </row>
    <row r="109" spans="2:17" ht="51" customHeight="1">
      <c r="B109" s="7" t="s">
        <v>152</v>
      </c>
      <c r="C109" s="7"/>
      <c r="D109" s="46" t="s">
        <v>219</v>
      </c>
      <c r="E109" s="4" t="s">
        <v>20</v>
      </c>
      <c r="F109" s="4"/>
      <c r="G109" s="60">
        <f>G113+G110</f>
        <v>0</v>
      </c>
      <c r="H109" s="3"/>
      <c r="I109" s="60">
        <f>I113+I110</f>
        <v>22870900</v>
      </c>
      <c r="J109" s="3"/>
      <c r="K109" s="60">
        <f>K113+K110</f>
        <v>8787000</v>
      </c>
      <c r="L109" s="133"/>
      <c r="M109" s="60">
        <f>M113+M110</f>
        <v>9357179</v>
      </c>
      <c r="N109" s="133"/>
      <c r="O109" s="60">
        <f>O113+O110</f>
        <v>14217897.48</v>
      </c>
      <c r="P109" s="133"/>
      <c r="Q109" s="60">
        <f>Q113+Q110</f>
        <v>25580323.48</v>
      </c>
    </row>
    <row r="110" spans="2:17" ht="35.25" customHeight="1">
      <c r="B110" s="62" t="s">
        <v>245</v>
      </c>
      <c r="C110" s="7"/>
      <c r="D110" s="46" t="s">
        <v>219</v>
      </c>
      <c r="E110" s="4" t="s">
        <v>246</v>
      </c>
      <c r="F110" s="4"/>
      <c r="G110" s="60">
        <f>G111+G112</f>
        <v>0</v>
      </c>
      <c r="H110" s="3"/>
      <c r="I110" s="60">
        <f>I111+I112</f>
        <v>22066900</v>
      </c>
      <c r="J110" s="3"/>
      <c r="K110" s="60">
        <f>K111+K112</f>
        <v>7543000</v>
      </c>
      <c r="L110" s="133"/>
      <c r="M110" s="60">
        <f>M111+M112</f>
        <v>7672000</v>
      </c>
      <c r="N110" s="133"/>
      <c r="O110" s="60">
        <f>O111+O112</f>
        <v>12434033</v>
      </c>
      <c r="P110" s="133"/>
      <c r="Q110" s="60">
        <f>Q111+Q112</f>
        <v>23794732</v>
      </c>
    </row>
    <row r="111" spans="2:17" ht="35.25" customHeight="1">
      <c r="B111" s="175" t="s">
        <v>245</v>
      </c>
      <c r="C111" s="7"/>
      <c r="D111" s="46" t="s">
        <v>219</v>
      </c>
      <c r="E111" s="4" t="s">
        <v>246</v>
      </c>
      <c r="F111" s="4" t="s">
        <v>358</v>
      </c>
      <c r="G111" s="60">
        <v>0</v>
      </c>
      <c r="H111" s="3">
        <v>2066900</v>
      </c>
      <c r="I111" s="60">
        <v>22066900</v>
      </c>
      <c r="J111" s="3">
        <v>-14523900</v>
      </c>
      <c r="K111" s="60">
        <f>I111+J111</f>
        <v>7543000</v>
      </c>
      <c r="L111" s="133">
        <v>129000</v>
      </c>
      <c r="M111" s="60">
        <f>K111+L111</f>
        <v>7672000</v>
      </c>
      <c r="N111" s="133">
        <f>4757064+4969</f>
        <v>4762033</v>
      </c>
      <c r="O111" s="60">
        <f>M111+N111</f>
        <v>12434033</v>
      </c>
      <c r="P111" s="133">
        <f>1846564+9514135</f>
        <v>11360699</v>
      </c>
      <c r="Q111" s="60">
        <f>O111+P111</f>
        <v>23794732</v>
      </c>
    </row>
    <row r="112" spans="2:17" ht="19.5" customHeight="1" hidden="1">
      <c r="B112" s="32" t="s">
        <v>355</v>
      </c>
      <c r="C112" s="7"/>
      <c r="D112" s="46" t="s">
        <v>219</v>
      </c>
      <c r="E112" s="4" t="s">
        <v>246</v>
      </c>
      <c r="F112" s="4" t="s">
        <v>329</v>
      </c>
      <c r="G112" s="60">
        <v>0</v>
      </c>
      <c r="H112" s="110">
        <v>0</v>
      </c>
      <c r="I112" s="60">
        <f>G112+H112</f>
        <v>0</v>
      </c>
      <c r="J112" s="110">
        <v>0</v>
      </c>
      <c r="K112" s="60">
        <f>I112+J112</f>
        <v>0</v>
      </c>
      <c r="L112" s="136"/>
      <c r="M112" s="60">
        <f>K112+L112</f>
        <v>0</v>
      </c>
      <c r="N112" s="136"/>
      <c r="O112" s="60">
        <f>M112+N112</f>
        <v>0</v>
      </c>
      <c r="P112" s="136"/>
      <c r="Q112" s="60">
        <f>O112+P112</f>
        <v>0</v>
      </c>
    </row>
    <row r="113" spans="2:17" ht="15.75">
      <c r="B113" s="7" t="s">
        <v>21</v>
      </c>
      <c r="C113" s="4"/>
      <c r="D113" s="46" t="s">
        <v>219</v>
      </c>
      <c r="E113" s="4" t="s">
        <v>153</v>
      </c>
      <c r="F113" s="4"/>
      <c r="G113" s="60">
        <f>G116+G114</f>
        <v>0</v>
      </c>
      <c r="H113" s="3"/>
      <c r="I113" s="60">
        <f>I116+I114</f>
        <v>804000</v>
      </c>
      <c r="J113" s="3"/>
      <c r="K113" s="60">
        <f>K116+K114</f>
        <v>1244000</v>
      </c>
      <c r="L113" s="133"/>
      <c r="M113" s="60">
        <f>M116+M114</f>
        <v>1685179</v>
      </c>
      <c r="N113" s="133"/>
      <c r="O113" s="60">
        <f>O116+O114</f>
        <v>1783864.48</v>
      </c>
      <c r="P113" s="133"/>
      <c r="Q113" s="60">
        <f>Q116+Q114</f>
        <v>1785591.48</v>
      </c>
    </row>
    <row r="114" spans="2:17" ht="21" customHeight="1" hidden="1">
      <c r="B114" s="105" t="s">
        <v>469</v>
      </c>
      <c r="C114" s="4"/>
      <c r="D114" s="46" t="s">
        <v>219</v>
      </c>
      <c r="E114" s="4" t="s">
        <v>218</v>
      </c>
      <c r="F114" s="4"/>
      <c r="G114" s="60">
        <f>G115</f>
        <v>0</v>
      </c>
      <c r="H114" s="3"/>
      <c r="I114" s="60">
        <v>0</v>
      </c>
      <c r="J114" s="3"/>
      <c r="K114" s="60">
        <f>K115</f>
        <v>0</v>
      </c>
      <c r="L114" s="133"/>
      <c r="M114" s="60">
        <f>M115</f>
        <v>0</v>
      </c>
      <c r="N114" s="133"/>
      <c r="O114" s="60">
        <f>O115</f>
        <v>0</v>
      </c>
      <c r="P114" s="133"/>
      <c r="Q114" s="60">
        <f>Q115</f>
        <v>0</v>
      </c>
    </row>
    <row r="115" spans="2:17" ht="15" customHeight="1" hidden="1">
      <c r="B115" s="105" t="s">
        <v>468</v>
      </c>
      <c r="C115" s="4"/>
      <c r="D115" s="46" t="s">
        <v>219</v>
      </c>
      <c r="E115" s="4" t="s">
        <v>218</v>
      </c>
      <c r="F115" s="102" t="s">
        <v>467</v>
      </c>
      <c r="G115" s="60">
        <v>0</v>
      </c>
      <c r="H115" s="3">
        <v>20000000</v>
      </c>
      <c r="I115" s="60">
        <v>0</v>
      </c>
      <c r="J115" s="3">
        <v>0</v>
      </c>
      <c r="K115" s="60">
        <f>I115+J115</f>
        <v>0</v>
      </c>
      <c r="L115" s="133"/>
      <c r="M115" s="60">
        <f>K115+L115</f>
        <v>0</v>
      </c>
      <c r="N115" s="133"/>
      <c r="O115" s="60">
        <f>M115+N115</f>
        <v>0</v>
      </c>
      <c r="P115" s="133"/>
      <c r="Q115" s="60">
        <f>O115+P115</f>
        <v>0</v>
      </c>
    </row>
    <row r="116" spans="2:17" ht="31.5">
      <c r="B116" s="7" t="s">
        <v>177</v>
      </c>
      <c r="C116" s="4"/>
      <c r="D116" s="46" t="s">
        <v>219</v>
      </c>
      <c r="E116" s="4" t="s">
        <v>178</v>
      </c>
      <c r="F116" s="4"/>
      <c r="G116" s="60">
        <f>G120+G118+G117+G122</f>
        <v>0</v>
      </c>
      <c r="H116" s="3"/>
      <c r="I116" s="60">
        <f>I120+I118+I117+I122</f>
        <v>804000</v>
      </c>
      <c r="J116" s="3"/>
      <c r="K116" s="60">
        <f>K120+K118+K117+K122+K119</f>
        <v>1244000</v>
      </c>
      <c r="L116" s="133"/>
      <c r="M116" s="60">
        <f>M120+M118+M117+M122+M119</f>
        <v>1685179</v>
      </c>
      <c r="N116" s="133"/>
      <c r="O116" s="60">
        <f>O120+O118+O117+O122+O119+O121</f>
        <v>1783864.48</v>
      </c>
      <c r="P116" s="133"/>
      <c r="Q116" s="60">
        <f>Q120+Q118+Q117+Q122+Q119+Q121</f>
        <v>1785591.48</v>
      </c>
    </row>
    <row r="117" spans="2:17" ht="0.75" customHeight="1" hidden="1">
      <c r="B117" s="31" t="s">
        <v>321</v>
      </c>
      <c r="C117" s="4" t="s">
        <v>192</v>
      </c>
      <c r="D117" s="46" t="s">
        <v>219</v>
      </c>
      <c r="E117" s="4" t="s">
        <v>178</v>
      </c>
      <c r="F117" s="4" t="s">
        <v>354</v>
      </c>
      <c r="G117" s="60">
        <v>0</v>
      </c>
      <c r="H117" s="110">
        <v>0</v>
      </c>
      <c r="I117" s="60">
        <f>G117+H117</f>
        <v>0</v>
      </c>
      <c r="J117" s="110">
        <v>0</v>
      </c>
      <c r="K117" s="60">
        <f>I117+J117</f>
        <v>0</v>
      </c>
      <c r="L117" s="136"/>
      <c r="M117" s="60">
        <f>K117+L117</f>
        <v>0</v>
      </c>
      <c r="N117" s="136"/>
      <c r="O117" s="60">
        <f aca="true" t="shared" si="12" ref="O117:O122">M117+N117</f>
        <v>0</v>
      </c>
      <c r="P117" s="136"/>
      <c r="Q117" s="60">
        <f aca="true" t="shared" si="13" ref="Q117:Q122">O117+P117</f>
        <v>0</v>
      </c>
    </row>
    <row r="118" spans="2:17" ht="47.25" hidden="1">
      <c r="B118" s="31" t="s">
        <v>322</v>
      </c>
      <c r="C118" s="4"/>
      <c r="D118" s="46" t="s">
        <v>219</v>
      </c>
      <c r="E118" s="4" t="s">
        <v>178</v>
      </c>
      <c r="F118" s="4" t="s">
        <v>327</v>
      </c>
      <c r="G118" s="60">
        <v>0</v>
      </c>
      <c r="H118" s="3"/>
      <c r="I118" s="60">
        <f>G118+H118</f>
        <v>0</v>
      </c>
      <c r="J118" s="3"/>
      <c r="K118" s="60">
        <f>I118+J118</f>
        <v>0</v>
      </c>
      <c r="L118" s="133"/>
      <c r="M118" s="60">
        <f>K118+L118</f>
        <v>0</v>
      </c>
      <c r="N118" s="133"/>
      <c r="O118" s="60">
        <f t="shared" si="12"/>
        <v>0</v>
      </c>
      <c r="P118" s="133"/>
      <c r="Q118" s="60">
        <f t="shared" si="13"/>
        <v>0</v>
      </c>
    </row>
    <row r="119" spans="2:17" ht="31.5">
      <c r="B119" s="31" t="s">
        <v>321</v>
      </c>
      <c r="C119" s="4"/>
      <c r="D119" s="46" t="s">
        <v>219</v>
      </c>
      <c r="E119" s="4" t="s">
        <v>178</v>
      </c>
      <c r="F119" s="102" t="s">
        <v>354</v>
      </c>
      <c r="G119" s="60"/>
      <c r="H119" s="3"/>
      <c r="I119" s="60"/>
      <c r="J119" s="3">
        <v>440000</v>
      </c>
      <c r="K119" s="60">
        <f>I119+J119</f>
        <v>440000</v>
      </c>
      <c r="L119" s="157">
        <f>119088+33590+215516+42985</f>
        <v>411179</v>
      </c>
      <c r="M119" s="60">
        <f>K119+L119</f>
        <v>851179</v>
      </c>
      <c r="N119" s="157">
        <v>-21314.52</v>
      </c>
      <c r="O119" s="60">
        <f t="shared" si="12"/>
        <v>829864.48</v>
      </c>
      <c r="P119" s="157">
        <f>8735.4-2804.75</f>
        <v>5930.65</v>
      </c>
      <c r="Q119" s="60">
        <f t="shared" si="13"/>
        <v>835795.13</v>
      </c>
    </row>
    <row r="120" spans="2:17" ht="31.5">
      <c r="B120" s="31" t="s">
        <v>382</v>
      </c>
      <c r="C120" s="4"/>
      <c r="D120" s="46" t="s">
        <v>219</v>
      </c>
      <c r="E120" s="4" t="s">
        <v>178</v>
      </c>
      <c r="F120" s="4" t="s">
        <v>328</v>
      </c>
      <c r="G120" s="60">
        <v>0</v>
      </c>
      <c r="H120" s="3">
        <v>633000</v>
      </c>
      <c r="I120" s="60">
        <f>G120+H120</f>
        <v>633000</v>
      </c>
      <c r="J120" s="3">
        <v>0</v>
      </c>
      <c r="K120" s="60">
        <f>I120+J120</f>
        <v>633000</v>
      </c>
      <c r="L120" s="133"/>
      <c r="M120" s="60">
        <f>K120+L120</f>
        <v>633000</v>
      </c>
      <c r="N120" s="133"/>
      <c r="O120" s="60">
        <f t="shared" si="12"/>
        <v>633000</v>
      </c>
      <c r="P120" s="133"/>
      <c r="Q120" s="60">
        <f t="shared" si="13"/>
        <v>633000</v>
      </c>
    </row>
    <row r="121" spans="2:17" ht="33.75" customHeight="1">
      <c r="B121" s="96" t="s">
        <v>245</v>
      </c>
      <c r="C121" s="4"/>
      <c r="D121" s="98" t="s">
        <v>219</v>
      </c>
      <c r="E121" s="102" t="s">
        <v>178</v>
      </c>
      <c r="F121" s="102" t="s">
        <v>358</v>
      </c>
      <c r="G121" s="60"/>
      <c r="H121" s="3"/>
      <c r="I121" s="60"/>
      <c r="J121" s="3"/>
      <c r="K121" s="60"/>
      <c r="L121" s="133"/>
      <c r="M121" s="60"/>
      <c r="N121" s="133">
        <v>8988.02</v>
      </c>
      <c r="O121" s="60">
        <f t="shared" si="12"/>
        <v>8988.02</v>
      </c>
      <c r="P121" s="133"/>
      <c r="Q121" s="60">
        <f t="shared" si="13"/>
        <v>8988.02</v>
      </c>
    </row>
    <row r="122" spans="2:17" ht="33" customHeight="1">
      <c r="B122" s="31" t="s">
        <v>324</v>
      </c>
      <c r="C122" s="4"/>
      <c r="D122" s="46" t="s">
        <v>219</v>
      </c>
      <c r="E122" s="4" t="s">
        <v>178</v>
      </c>
      <c r="F122" s="4" t="s">
        <v>329</v>
      </c>
      <c r="G122" s="60">
        <v>0</v>
      </c>
      <c r="H122" s="110">
        <v>171000</v>
      </c>
      <c r="I122" s="60">
        <f>G122+H122</f>
        <v>171000</v>
      </c>
      <c r="J122" s="110">
        <v>0</v>
      </c>
      <c r="K122" s="60">
        <f>I122+J122</f>
        <v>171000</v>
      </c>
      <c r="L122" s="134">
        <v>30000</v>
      </c>
      <c r="M122" s="60">
        <f>K122+L122</f>
        <v>201000</v>
      </c>
      <c r="N122" s="134">
        <f>-8988.02+100000+20000</f>
        <v>111011.98</v>
      </c>
      <c r="O122" s="60">
        <f t="shared" si="12"/>
        <v>312011.98</v>
      </c>
      <c r="P122" s="134">
        <f>200-4403.65</f>
        <v>-4203.65</v>
      </c>
      <c r="Q122" s="60">
        <f t="shared" si="13"/>
        <v>307808.32999999996</v>
      </c>
    </row>
    <row r="123" spans="2:17" ht="31.5">
      <c r="B123" s="7" t="s">
        <v>154</v>
      </c>
      <c r="C123" s="4"/>
      <c r="D123" s="46" t="s">
        <v>219</v>
      </c>
      <c r="E123" s="4" t="s">
        <v>22</v>
      </c>
      <c r="F123" s="4"/>
      <c r="G123" s="60">
        <f>G124+G125+G126+G127</f>
        <v>0</v>
      </c>
      <c r="H123" s="3"/>
      <c r="I123" s="60">
        <f>I124+I125+I126+I127</f>
        <v>13874000</v>
      </c>
      <c r="J123" s="3"/>
      <c r="K123" s="60">
        <f>K124+K125+K126+K127</f>
        <v>13874000</v>
      </c>
      <c r="L123" s="133"/>
      <c r="M123" s="60">
        <f>M124+M125+M126+M127</f>
        <v>13874000</v>
      </c>
      <c r="N123" s="133"/>
      <c r="O123" s="60">
        <f>O124+O125+O126+O127</f>
        <v>13892118.540000001</v>
      </c>
      <c r="P123" s="133"/>
      <c r="Q123" s="60">
        <f>Q124+Q125+Q126+Q127</f>
        <v>13892118.540000001</v>
      </c>
    </row>
    <row r="124" spans="2:17" ht="16.5" customHeight="1">
      <c r="B124" s="96" t="s">
        <v>320</v>
      </c>
      <c r="C124" s="8" t="s">
        <v>200</v>
      </c>
      <c r="D124" s="8" t="s">
        <v>219</v>
      </c>
      <c r="E124" s="8" t="s">
        <v>22</v>
      </c>
      <c r="F124" s="8" t="s">
        <v>325</v>
      </c>
      <c r="G124" s="79">
        <v>0</v>
      </c>
      <c r="H124" s="117">
        <v>12322429</v>
      </c>
      <c r="I124" s="79">
        <f>G124+H124</f>
        <v>12322429</v>
      </c>
      <c r="J124" s="117">
        <v>0</v>
      </c>
      <c r="K124" s="79">
        <f>I124+J124</f>
        <v>12322429</v>
      </c>
      <c r="L124" s="150"/>
      <c r="M124" s="79">
        <f>K124+L124</f>
        <v>12322429</v>
      </c>
      <c r="N124" s="150">
        <f>-203048.13-15200+11621-118.7</f>
        <v>-206745.83000000002</v>
      </c>
      <c r="O124" s="79">
        <f>M124+N124</f>
        <v>12115683.17</v>
      </c>
      <c r="P124" s="150">
        <f>-15527-142800</f>
        <v>-158327</v>
      </c>
      <c r="Q124" s="79">
        <f>O124+P124</f>
        <v>11957356.17</v>
      </c>
    </row>
    <row r="125" spans="2:17" ht="30" customHeight="1">
      <c r="B125" s="31" t="s">
        <v>321</v>
      </c>
      <c r="C125" s="8" t="s">
        <v>200</v>
      </c>
      <c r="D125" s="8" t="s">
        <v>219</v>
      </c>
      <c r="E125" s="8" t="s">
        <v>22</v>
      </c>
      <c r="F125" s="8" t="s">
        <v>326</v>
      </c>
      <c r="G125" s="79">
        <v>0</v>
      </c>
      <c r="H125" s="97" t="s">
        <v>466</v>
      </c>
      <c r="I125" s="79">
        <f>G125+H125</f>
        <v>30000</v>
      </c>
      <c r="J125" s="97" t="s">
        <v>402</v>
      </c>
      <c r="K125" s="79">
        <f>I125+J125</f>
        <v>30000</v>
      </c>
      <c r="L125" s="151"/>
      <c r="M125" s="79">
        <f>K125+L125</f>
        <v>30000</v>
      </c>
      <c r="N125" s="150">
        <f>1258.19+115+118.7</f>
        <v>1491.89</v>
      </c>
      <c r="O125" s="79">
        <f>M125+N125</f>
        <v>31491.89</v>
      </c>
      <c r="P125" s="150"/>
      <c r="Q125" s="79">
        <f>O125+P125</f>
        <v>31491.89</v>
      </c>
    </row>
    <row r="126" spans="2:17" ht="47.25">
      <c r="B126" s="31" t="s">
        <v>322</v>
      </c>
      <c r="C126" s="8" t="s">
        <v>200</v>
      </c>
      <c r="D126" s="8" t="s">
        <v>219</v>
      </c>
      <c r="E126" s="8" t="s">
        <v>22</v>
      </c>
      <c r="F126" s="8" t="s">
        <v>327</v>
      </c>
      <c r="G126" s="79">
        <v>0</v>
      </c>
      <c r="H126" s="117">
        <v>747684</v>
      </c>
      <c r="I126" s="79">
        <f>G126+H126</f>
        <v>747684</v>
      </c>
      <c r="J126" s="117">
        <v>0</v>
      </c>
      <c r="K126" s="79">
        <f>I126+J126</f>
        <v>747684</v>
      </c>
      <c r="L126" s="150"/>
      <c r="M126" s="79">
        <f>K126+L126</f>
        <v>747684</v>
      </c>
      <c r="N126" s="150">
        <v>12159.39</v>
      </c>
      <c r="O126" s="79">
        <f>M126+N126</f>
        <v>759843.39</v>
      </c>
      <c r="P126" s="150">
        <v>-1500</v>
      </c>
      <c r="Q126" s="79">
        <f>O126+P126</f>
        <v>758343.39</v>
      </c>
    </row>
    <row r="127" spans="2:17" ht="31.5" customHeight="1">
      <c r="B127" s="31" t="s">
        <v>382</v>
      </c>
      <c r="C127" s="8" t="s">
        <v>200</v>
      </c>
      <c r="D127" s="8" t="s">
        <v>219</v>
      </c>
      <c r="E127" s="8" t="s">
        <v>22</v>
      </c>
      <c r="F127" s="8" t="s">
        <v>328</v>
      </c>
      <c r="G127" s="79">
        <v>0</v>
      </c>
      <c r="H127" s="117">
        <v>773887</v>
      </c>
      <c r="I127" s="79">
        <f>G127+H127</f>
        <v>773887</v>
      </c>
      <c r="J127" s="117">
        <v>0</v>
      </c>
      <c r="K127" s="79">
        <f>I127+J127</f>
        <v>773887</v>
      </c>
      <c r="L127" s="150"/>
      <c r="M127" s="79">
        <f>K127+L127</f>
        <v>773887</v>
      </c>
      <c r="N127" s="150">
        <f>196013.09+15200</f>
        <v>211213.09</v>
      </c>
      <c r="O127" s="79">
        <f>M127+N127</f>
        <v>985100.09</v>
      </c>
      <c r="P127" s="150">
        <f>1500+15527+142800</f>
        <v>159827</v>
      </c>
      <c r="Q127" s="79">
        <f>O127+P127</f>
        <v>1144927.0899999999</v>
      </c>
    </row>
    <row r="128" spans="2:17" ht="36" customHeight="1">
      <c r="B128" s="31" t="s">
        <v>188</v>
      </c>
      <c r="C128" s="7"/>
      <c r="D128" s="46" t="s">
        <v>219</v>
      </c>
      <c r="E128" s="4" t="s">
        <v>189</v>
      </c>
      <c r="F128" s="4"/>
      <c r="G128" s="60">
        <f>G129</f>
        <v>0</v>
      </c>
      <c r="H128" s="3"/>
      <c r="I128" s="60">
        <f>I129</f>
        <v>703000</v>
      </c>
      <c r="J128" s="3"/>
      <c r="K128" s="60">
        <f>K129</f>
        <v>803000</v>
      </c>
      <c r="L128" s="133"/>
      <c r="M128" s="60">
        <f>M129</f>
        <v>803000</v>
      </c>
      <c r="N128" s="133"/>
      <c r="O128" s="60">
        <f>O129</f>
        <v>833000</v>
      </c>
      <c r="P128" s="133"/>
      <c r="Q128" s="60">
        <f>Q129</f>
        <v>833000</v>
      </c>
    </row>
    <row r="129" spans="2:17" ht="36" customHeight="1">
      <c r="B129" s="7" t="s">
        <v>190</v>
      </c>
      <c r="C129" s="7"/>
      <c r="D129" s="46" t="s">
        <v>219</v>
      </c>
      <c r="E129" s="4" t="s">
        <v>191</v>
      </c>
      <c r="F129" s="4"/>
      <c r="G129" s="60">
        <f>G130+G131+G132</f>
        <v>0</v>
      </c>
      <c r="H129" s="3"/>
      <c r="I129" s="60">
        <f>I130+I131+I132</f>
        <v>703000</v>
      </c>
      <c r="J129" s="3"/>
      <c r="K129" s="60">
        <f>K130+K131+K132</f>
        <v>803000</v>
      </c>
      <c r="L129" s="133"/>
      <c r="M129" s="60">
        <f>M130+M131+M132</f>
        <v>803000</v>
      </c>
      <c r="N129" s="133"/>
      <c r="O129" s="60">
        <f>O130+O131+O132</f>
        <v>833000</v>
      </c>
      <c r="P129" s="133"/>
      <c r="Q129" s="60">
        <f>Q130+Q131+Q132</f>
        <v>833000</v>
      </c>
    </row>
    <row r="130" spans="2:17" ht="17.25" customHeight="1">
      <c r="B130" s="31" t="s">
        <v>320</v>
      </c>
      <c r="C130" s="4" t="s">
        <v>192</v>
      </c>
      <c r="D130" s="8" t="s">
        <v>219</v>
      </c>
      <c r="E130" s="4" t="s">
        <v>191</v>
      </c>
      <c r="F130" s="4" t="s">
        <v>325</v>
      </c>
      <c r="G130" s="86">
        <v>0</v>
      </c>
      <c r="H130" s="3">
        <v>650126</v>
      </c>
      <c r="I130" s="86">
        <f>G130+H130</f>
        <v>650126</v>
      </c>
      <c r="J130" s="3">
        <v>-868</v>
      </c>
      <c r="K130" s="86">
        <f>I130+J130</f>
        <v>649258</v>
      </c>
      <c r="L130" s="133"/>
      <c r="M130" s="86">
        <f>K130+L130</f>
        <v>649258</v>
      </c>
      <c r="N130" s="133"/>
      <c r="O130" s="86">
        <f>M130+N130</f>
        <v>649258</v>
      </c>
      <c r="P130" s="133"/>
      <c r="Q130" s="86">
        <f>O130+P130</f>
        <v>649258</v>
      </c>
    </row>
    <row r="131" spans="2:17" ht="47.25">
      <c r="B131" s="31" t="s">
        <v>322</v>
      </c>
      <c r="C131" s="8" t="s">
        <v>192</v>
      </c>
      <c r="D131" s="8" t="s">
        <v>219</v>
      </c>
      <c r="E131" s="4" t="s">
        <v>191</v>
      </c>
      <c r="F131" s="8" t="s">
        <v>327</v>
      </c>
      <c r="G131" s="86">
        <v>0</v>
      </c>
      <c r="H131" s="3">
        <v>31660</v>
      </c>
      <c r="I131" s="86">
        <f>G131+H131</f>
        <v>31660</v>
      </c>
      <c r="J131" s="3">
        <v>0</v>
      </c>
      <c r="K131" s="86">
        <f>I131+J131</f>
        <v>31660</v>
      </c>
      <c r="L131" s="133"/>
      <c r="M131" s="86">
        <f>K131+L131</f>
        <v>31660</v>
      </c>
      <c r="N131" s="133"/>
      <c r="O131" s="86">
        <f>M131+N131</f>
        <v>31660</v>
      </c>
      <c r="P131" s="133"/>
      <c r="Q131" s="86">
        <f>O131+P131</f>
        <v>31660</v>
      </c>
    </row>
    <row r="132" spans="2:17" ht="36" customHeight="1">
      <c r="B132" s="31" t="s">
        <v>382</v>
      </c>
      <c r="C132" s="91" t="s">
        <v>192</v>
      </c>
      <c r="D132" s="8" t="s">
        <v>219</v>
      </c>
      <c r="E132" s="4" t="s">
        <v>191</v>
      </c>
      <c r="F132" s="91" t="s">
        <v>328</v>
      </c>
      <c r="G132" s="86">
        <v>0</v>
      </c>
      <c r="H132" s="3">
        <v>21214</v>
      </c>
      <c r="I132" s="86">
        <f>G132+H132</f>
        <v>21214</v>
      </c>
      <c r="J132" s="3">
        <v>100868</v>
      </c>
      <c r="K132" s="86">
        <f>I132+J132</f>
        <v>122082</v>
      </c>
      <c r="L132" s="133"/>
      <c r="M132" s="86">
        <f>K132+L132</f>
        <v>122082</v>
      </c>
      <c r="N132" s="133">
        <v>30000</v>
      </c>
      <c r="O132" s="86">
        <f>M132+N132</f>
        <v>152082</v>
      </c>
      <c r="P132" s="133"/>
      <c r="Q132" s="86">
        <f>O132+P132</f>
        <v>152082</v>
      </c>
    </row>
    <row r="133" spans="2:17" ht="78.75">
      <c r="B133" s="7" t="s">
        <v>181</v>
      </c>
      <c r="C133" s="4"/>
      <c r="D133" s="46" t="s">
        <v>219</v>
      </c>
      <c r="E133" s="8" t="s">
        <v>370</v>
      </c>
      <c r="F133" s="4"/>
      <c r="G133" s="60">
        <f>G134+G135</f>
        <v>0</v>
      </c>
      <c r="H133" s="3"/>
      <c r="I133" s="60">
        <f>I134+I135</f>
        <v>192000</v>
      </c>
      <c r="J133" s="3"/>
      <c r="K133" s="60">
        <f>K134+K135</f>
        <v>192000</v>
      </c>
      <c r="L133" s="133"/>
      <c r="M133" s="60">
        <f>M134+M135</f>
        <v>192000</v>
      </c>
      <c r="N133" s="133"/>
      <c r="O133" s="60">
        <f>O134+O135</f>
        <v>192000</v>
      </c>
      <c r="P133" s="133"/>
      <c r="Q133" s="60">
        <f>Q134+Q135</f>
        <v>192000</v>
      </c>
    </row>
    <row r="134" spans="2:17" ht="47.25">
      <c r="B134" s="31" t="s">
        <v>322</v>
      </c>
      <c r="C134" s="6"/>
      <c r="D134" s="44" t="s">
        <v>219</v>
      </c>
      <c r="E134" s="6" t="s">
        <v>370</v>
      </c>
      <c r="F134" s="6" t="s">
        <v>327</v>
      </c>
      <c r="G134" s="60">
        <v>0</v>
      </c>
      <c r="H134" s="112">
        <v>23624</v>
      </c>
      <c r="I134" s="60">
        <f>G134+H134</f>
        <v>23624</v>
      </c>
      <c r="J134" s="112">
        <v>0</v>
      </c>
      <c r="K134" s="60">
        <f>I134+J134</f>
        <v>23624</v>
      </c>
      <c r="L134" s="134"/>
      <c r="M134" s="60">
        <f>K134+L134</f>
        <v>23624</v>
      </c>
      <c r="N134" s="134"/>
      <c r="O134" s="60">
        <f>M134+N134</f>
        <v>23624</v>
      </c>
      <c r="P134" s="134"/>
      <c r="Q134" s="60">
        <f>O134+P134</f>
        <v>23624</v>
      </c>
    </row>
    <row r="135" spans="2:17" ht="31.5" customHeight="1">
      <c r="B135" s="31" t="s">
        <v>382</v>
      </c>
      <c r="C135" s="6"/>
      <c r="D135" s="44" t="s">
        <v>219</v>
      </c>
      <c r="E135" s="6" t="s">
        <v>370</v>
      </c>
      <c r="F135" s="6" t="s">
        <v>328</v>
      </c>
      <c r="G135" s="60">
        <v>0</v>
      </c>
      <c r="H135" s="112">
        <v>168376</v>
      </c>
      <c r="I135" s="60">
        <f>G135+H135</f>
        <v>168376</v>
      </c>
      <c r="J135" s="112">
        <v>0</v>
      </c>
      <c r="K135" s="60">
        <f>I135+J135</f>
        <v>168376</v>
      </c>
      <c r="L135" s="134"/>
      <c r="M135" s="60">
        <f>K135+L135</f>
        <v>168376</v>
      </c>
      <c r="N135" s="134"/>
      <c r="O135" s="60">
        <f>M135+N135</f>
        <v>168376</v>
      </c>
      <c r="P135" s="134"/>
      <c r="Q135" s="60">
        <f>O135+P135</f>
        <v>168376</v>
      </c>
    </row>
    <row r="136" spans="2:17" ht="94.5">
      <c r="B136" s="31" t="s">
        <v>283</v>
      </c>
      <c r="C136" s="8" t="s">
        <v>200</v>
      </c>
      <c r="D136" s="8" t="s">
        <v>219</v>
      </c>
      <c r="E136" s="8" t="s">
        <v>371</v>
      </c>
      <c r="F136" s="8"/>
      <c r="G136" s="60" t="e">
        <f>#REF!+G137</f>
        <v>#REF!</v>
      </c>
      <c r="H136" s="112"/>
      <c r="I136" s="60">
        <f>I137</f>
        <v>100</v>
      </c>
      <c r="J136" s="112"/>
      <c r="K136" s="60">
        <f>K137</f>
        <v>100</v>
      </c>
      <c r="L136" s="134"/>
      <c r="M136" s="60">
        <f>M137</f>
        <v>100</v>
      </c>
      <c r="N136" s="134"/>
      <c r="O136" s="60">
        <f>O137</f>
        <v>100</v>
      </c>
      <c r="P136" s="134"/>
      <c r="Q136" s="60">
        <f>Q137</f>
        <v>100</v>
      </c>
    </row>
    <row r="137" spans="2:17" ht="35.25" customHeight="1">
      <c r="B137" s="31" t="s">
        <v>382</v>
      </c>
      <c r="C137" s="8"/>
      <c r="D137" s="8" t="s">
        <v>219</v>
      </c>
      <c r="E137" s="8" t="s">
        <v>371</v>
      </c>
      <c r="F137" s="8" t="s">
        <v>328</v>
      </c>
      <c r="G137" s="60">
        <v>0</v>
      </c>
      <c r="H137" s="113">
        <v>100</v>
      </c>
      <c r="I137" s="60">
        <f>G137+H137</f>
        <v>100</v>
      </c>
      <c r="J137" s="113">
        <v>0</v>
      </c>
      <c r="K137" s="60">
        <f>I137+J137</f>
        <v>100</v>
      </c>
      <c r="L137" s="137"/>
      <c r="M137" s="60">
        <f>K137+L137</f>
        <v>100</v>
      </c>
      <c r="N137" s="137"/>
      <c r="O137" s="60">
        <f>M137+N137</f>
        <v>100</v>
      </c>
      <c r="P137" s="137"/>
      <c r="Q137" s="60">
        <f>O137+P137</f>
        <v>100</v>
      </c>
    </row>
    <row r="138" spans="2:17" ht="47.25">
      <c r="B138" s="96" t="s">
        <v>282</v>
      </c>
      <c r="C138" s="8" t="s">
        <v>200</v>
      </c>
      <c r="D138" s="8" t="s">
        <v>219</v>
      </c>
      <c r="E138" s="8" t="s">
        <v>372</v>
      </c>
      <c r="F138" s="8"/>
      <c r="G138" s="60">
        <f>G141</f>
        <v>0</v>
      </c>
      <c r="H138" s="52"/>
      <c r="I138" s="60">
        <f>I140+I141</f>
        <v>83400</v>
      </c>
      <c r="J138" s="52"/>
      <c r="K138" s="60">
        <f>K140+K141</f>
        <v>83400</v>
      </c>
      <c r="L138" s="138"/>
      <c r="M138" s="60">
        <f>M140+M141</f>
        <v>83400</v>
      </c>
      <c r="N138" s="138"/>
      <c r="O138" s="60">
        <f>O140+O141+O139</f>
        <v>83400</v>
      </c>
      <c r="P138" s="138"/>
      <c r="Q138" s="60">
        <f>Q140+Q141+Q139</f>
        <v>83400</v>
      </c>
    </row>
    <row r="139" spans="2:17" ht="15.75">
      <c r="B139" s="96" t="s">
        <v>320</v>
      </c>
      <c r="C139" s="8"/>
      <c r="D139" s="97" t="s">
        <v>219</v>
      </c>
      <c r="E139" s="97" t="s">
        <v>372</v>
      </c>
      <c r="F139" s="97" t="s">
        <v>325</v>
      </c>
      <c r="G139" s="60"/>
      <c r="H139" s="52"/>
      <c r="I139" s="60"/>
      <c r="J139" s="52"/>
      <c r="K139" s="60"/>
      <c r="L139" s="138"/>
      <c r="M139" s="60"/>
      <c r="N139" s="138">
        <v>64560</v>
      </c>
      <c r="O139" s="60">
        <f>M139+N139</f>
        <v>64560</v>
      </c>
      <c r="P139" s="138"/>
      <c r="Q139" s="60">
        <f>O139+P139</f>
        <v>64560</v>
      </c>
    </row>
    <row r="140" spans="2:17" ht="51.75" customHeight="1">
      <c r="B140" s="31" t="s">
        <v>322</v>
      </c>
      <c r="C140" s="8"/>
      <c r="D140" s="8" t="s">
        <v>219</v>
      </c>
      <c r="E140" s="8" t="s">
        <v>372</v>
      </c>
      <c r="F140" s="97" t="s">
        <v>327</v>
      </c>
      <c r="G140" s="60"/>
      <c r="H140" s="52">
        <v>14749</v>
      </c>
      <c r="I140" s="60">
        <f>G140+H140</f>
        <v>14749</v>
      </c>
      <c r="J140" s="52">
        <v>0</v>
      </c>
      <c r="K140" s="60">
        <f>I140+J140</f>
        <v>14749</v>
      </c>
      <c r="L140" s="138"/>
      <c r="M140" s="60">
        <f>K140+L140</f>
        <v>14749</v>
      </c>
      <c r="N140" s="138">
        <v>-10000</v>
      </c>
      <c r="O140" s="60">
        <f>M140+N140</f>
        <v>4749</v>
      </c>
      <c r="P140" s="138"/>
      <c r="Q140" s="60">
        <f>O140+P140</f>
        <v>4749</v>
      </c>
    </row>
    <row r="141" spans="2:17" ht="32.25" customHeight="1">
      <c r="B141" s="31" t="s">
        <v>382</v>
      </c>
      <c r="C141" s="8" t="s">
        <v>200</v>
      </c>
      <c r="D141" s="8" t="s">
        <v>219</v>
      </c>
      <c r="E141" s="8" t="s">
        <v>372</v>
      </c>
      <c r="F141" s="8" t="s">
        <v>328</v>
      </c>
      <c r="G141" s="60">
        <v>0</v>
      </c>
      <c r="H141" s="52">
        <v>68651</v>
      </c>
      <c r="I141" s="60">
        <f>G141+H141</f>
        <v>68651</v>
      </c>
      <c r="J141" s="52">
        <v>0</v>
      </c>
      <c r="K141" s="60">
        <f>I141+J141</f>
        <v>68651</v>
      </c>
      <c r="L141" s="138"/>
      <c r="M141" s="60">
        <f>K141+L141</f>
        <v>68651</v>
      </c>
      <c r="N141" s="138">
        <v>-54560</v>
      </c>
      <c r="O141" s="60">
        <f>M141+N141</f>
        <v>14091</v>
      </c>
      <c r="P141" s="138"/>
      <c r="Q141" s="60">
        <f>O141+P141</f>
        <v>14091</v>
      </c>
    </row>
    <row r="142" spans="2:17" ht="15.75">
      <c r="B142" s="105" t="s">
        <v>460</v>
      </c>
      <c r="C142" s="4"/>
      <c r="D142" s="46" t="s">
        <v>219</v>
      </c>
      <c r="E142" s="4" t="s">
        <v>259</v>
      </c>
      <c r="F142" s="4"/>
      <c r="G142" s="60">
        <f>G144+G143</f>
        <v>0</v>
      </c>
      <c r="H142" s="3"/>
      <c r="I142" s="60">
        <f>I144+I143</f>
        <v>220000</v>
      </c>
      <c r="J142" s="3"/>
      <c r="K142" s="60">
        <f>K144+K143</f>
        <v>220000</v>
      </c>
      <c r="L142" s="133"/>
      <c r="M142" s="60">
        <f>M144+M143</f>
        <v>220000</v>
      </c>
      <c r="N142" s="133"/>
      <c r="O142" s="60">
        <f>O144+O143</f>
        <v>220000</v>
      </c>
      <c r="P142" s="133"/>
      <c r="Q142" s="60">
        <f>Q144+Q143</f>
        <v>120000</v>
      </c>
    </row>
    <row r="143" spans="2:17" ht="47.25">
      <c r="B143" s="31" t="s">
        <v>322</v>
      </c>
      <c r="C143" s="4"/>
      <c r="D143" s="98" t="s">
        <v>219</v>
      </c>
      <c r="E143" s="102" t="s">
        <v>259</v>
      </c>
      <c r="F143" s="102" t="s">
        <v>327</v>
      </c>
      <c r="G143" s="60">
        <v>0</v>
      </c>
      <c r="H143" s="3">
        <v>20000</v>
      </c>
      <c r="I143" s="60">
        <f>G143+H143</f>
        <v>20000</v>
      </c>
      <c r="J143" s="3">
        <v>0</v>
      </c>
      <c r="K143" s="60">
        <f>I143+J143</f>
        <v>20000</v>
      </c>
      <c r="L143" s="133"/>
      <c r="M143" s="60">
        <f>K143+L143</f>
        <v>20000</v>
      </c>
      <c r="N143" s="133"/>
      <c r="O143" s="60">
        <f>M143+N143</f>
        <v>20000</v>
      </c>
      <c r="P143" s="133"/>
      <c r="Q143" s="60">
        <f>O143+P143</f>
        <v>20000</v>
      </c>
    </row>
    <row r="144" spans="2:17" ht="31.5">
      <c r="B144" s="31" t="s">
        <v>382</v>
      </c>
      <c r="C144" s="4"/>
      <c r="D144" s="46" t="s">
        <v>219</v>
      </c>
      <c r="E144" s="4" t="s">
        <v>259</v>
      </c>
      <c r="F144" s="4" t="s">
        <v>328</v>
      </c>
      <c r="G144" s="60">
        <v>0</v>
      </c>
      <c r="H144" s="3">
        <v>200000</v>
      </c>
      <c r="I144" s="60">
        <f>G144+H144</f>
        <v>200000</v>
      </c>
      <c r="J144" s="3">
        <v>0</v>
      </c>
      <c r="K144" s="60">
        <f>I144+J144</f>
        <v>200000</v>
      </c>
      <c r="L144" s="133"/>
      <c r="M144" s="60">
        <f>K144+L144</f>
        <v>200000</v>
      </c>
      <c r="N144" s="133"/>
      <c r="O144" s="60">
        <f>M144+N144</f>
        <v>200000</v>
      </c>
      <c r="P144" s="133">
        <v>-100000</v>
      </c>
      <c r="Q144" s="60">
        <f>O144+P144</f>
        <v>100000</v>
      </c>
    </row>
    <row r="145" spans="2:17" ht="69.75" customHeight="1">
      <c r="B145" s="96" t="s">
        <v>461</v>
      </c>
      <c r="C145" s="97" t="s">
        <v>192</v>
      </c>
      <c r="D145" s="97" t="s">
        <v>219</v>
      </c>
      <c r="E145" s="97" t="s">
        <v>479</v>
      </c>
      <c r="F145" s="97"/>
      <c r="G145" s="60"/>
      <c r="H145" s="3"/>
      <c r="I145" s="60">
        <f>I146</f>
        <v>50000</v>
      </c>
      <c r="J145" s="3"/>
      <c r="K145" s="60">
        <f>K146</f>
        <v>50000</v>
      </c>
      <c r="L145" s="133"/>
      <c r="M145" s="60">
        <f>M146</f>
        <v>50000</v>
      </c>
      <c r="N145" s="133"/>
      <c r="O145" s="60">
        <f>O146</f>
        <v>50000</v>
      </c>
      <c r="P145" s="133"/>
      <c r="Q145" s="60">
        <f>Q146</f>
        <v>50000</v>
      </c>
    </row>
    <row r="146" spans="2:17" ht="30" customHeight="1">
      <c r="B146" s="96" t="s">
        <v>382</v>
      </c>
      <c r="C146" s="97" t="s">
        <v>192</v>
      </c>
      <c r="D146" s="97" t="s">
        <v>219</v>
      </c>
      <c r="E146" s="97" t="s">
        <v>479</v>
      </c>
      <c r="F146" s="97" t="s">
        <v>328</v>
      </c>
      <c r="G146" s="60"/>
      <c r="H146" s="3">
        <v>50000</v>
      </c>
      <c r="I146" s="60">
        <f>G146+H146</f>
        <v>50000</v>
      </c>
      <c r="J146" s="3">
        <v>0</v>
      </c>
      <c r="K146" s="60">
        <f>I146+J146</f>
        <v>50000</v>
      </c>
      <c r="L146" s="133"/>
      <c r="M146" s="60">
        <f>K146+L146</f>
        <v>50000</v>
      </c>
      <c r="N146" s="133"/>
      <c r="O146" s="60">
        <f>M146+N146</f>
        <v>50000</v>
      </c>
      <c r="P146" s="133"/>
      <c r="Q146" s="60">
        <f>O146+P146</f>
        <v>50000</v>
      </c>
    </row>
    <row r="147" spans="2:17" ht="33" customHeight="1">
      <c r="B147" s="96" t="s">
        <v>462</v>
      </c>
      <c r="C147" s="97" t="s">
        <v>192</v>
      </c>
      <c r="D147" s="97" t="s">
        <v>219</v>
      </c>
      <c r="E147" s="97" t="s">
        <v>306</v>
      </c>
      <c r="F147" s="97"/>
      <c r="G147" s="60"/>
      <c r="H147" s="3"/>
      <c r="I147" s="60">
        <f>I148</f>
        <v>13000</v>
      </c>
      <c r="J147" s="3"/>
      <c r="K147" s="60">
        <f>K148</f>
        <v>13000</v>
      </c>
      <c r="L147" s="133"/>
      <c r="M147" s="60">
        <f>M148</f>
        <v>13000</v>
      </c>
      <c r="N147" s="133"/>
      <c r="O147" s="60">
        <f>O148</f>
        <v>13000</v>
      </c>
      <c r="P147" s="133"/>
      <c r="Q147" s="60">
        <f>Q148</f>
        <v>13000</v>
      </c>
    </row>
    <row r="148" spans="2:17" ht="16.5" customHeight="1">
      <c r="B148" s="96" t="s">
        <v>334</v>
      </c>
      <c r="C148" s="97" t="s">
        <v>192</v>
      </c>
      <c r="D148" s="97" t="s">
        <v>219</v>
      </c>
      <c r="E148" s="97" t="s">
        <v>306</v>
      </c>
      <c r="F148" s="97" t="s">
        <v>335</v>
      </c>
      <c r="G148" s="60"/>
      <c r="H148" s="3">
        <v>13000</v>
      </c>
      <c r="I148" s="60">
        <f>G148+H148</f>
        <v>13000</v>
      </c>
      <c r="J148" s="3">
        <v>0</v>
      </c>
      <c r="K148" s="60">
        <f>I148+J148</f>
        <v>13000</v>
      </c>
      <c r="L148" s="133"/>
      <c r="M148" s="60">
        <f>K148+L148</f>
        <v>13000</v>
      </c>
      <c r="N148" s="133"/>
      <c r="O148" s="60">
        <f>M148+N148</f>
        <v>13000</v>
      </c>
      <c r="P148" s="133"/>
      <c r="Q148" s="60">
        <f>O148+P148</f>
        <v>13000</v>
      </c>
    </row>
    <row r="149" spans="2:17" ht="18.75" customHeight="1">
      <c r="B149" s="7" t="s">
        <v>23</v>
      </c>
      <c r="C149" s="5" t="s">
        <v>24</v>
      </c>
      <c r="D149" s="45" t="s">
        <v>24</v>
      </c>
      <c r="E149" s="5"/>
      <c r="F149" s="5"/>
      <c r="G149" s="60">
        <f>G150</f>
        <v>0</v>
      </c>
      <c r="H149" s="3"/>
      <c r="I149" s="60">
        <f>I150</f>
        <v>1718400</v>
      </c>
      <c r="J149" s="3"/>
      <c r="K149" s="60">
        <f>K150</f>
        <v>1718400</v>
      </c>
      <c r="L149" s="133"/>
      <c r="M149" s="60">
        <f>M150</f>
        <v>1718400</v>
      </c>
      <c r="N149" s="133"/>
      <c r="O149" s="60">
        <f>O150</f>
        <v>1718400</v>
      </c>
      <c r="P149" s="133"/>
      <c r="Q149" s="60">
        <f>Q150</f>
        <v>1718400</v>
      </c>
    </row>
    <row r="150" spans="2:17" ht="15.75">
      <c r="B150" s="7" t="s">
        <v>155</v>
      </c>
      <c r="C150" s="4"/>
      <c r="D150" s="46" t="s">
        <v>156</v>
      </c>
      <c r="E150" s="4"/>
      <c r="F150" s="4"/>
      <c r="G150" s="60">
        <f>G151</f>
        <v>0</v>
      </c>
      <c r="H150" s="3"/>
      <c r="I150" s="60">
        <f>I151</f>
        <v>1718400</v>
      </c>
      <c r="J150" s="3"/>
      <c r="K150" s="60">
        <f>K151</f>
        <v>1718400</v>
      </c>
      <c r="L150" s="133"/>
      <c r="M150" s="60">
        <f>M151</f>
        <v>1718400</v>
      </c>
      <c r="N150" s="133"/>
      <c r="O150" s="60">
        <f>O151</f>
        <v>1718400</v>
      </c>
      <c r="P150" s="133"/>
      <c r="Q150" s="60">
        <f>Q151</f>
        <v>1718400</v>
      </c>
    </row>
    <row r="151" spans="2:17" ht="31.5">
      <c r="B151" s="7" t="s">
        <v>6</v>
      </c>
      <c r="C151" s="4"/>
      <c r="D151" s="46" t="s">
        <v>156</v>
      </c>
      <c r="E151" s="4" t="s">
        <v>7</v>
      </c>
      <c r="F151" s="4"/>
      <c r="G151" s="60">
        <f>G152</f>
        <v>0</v>
      </c>
      <c r="H151" s="3"/>
      <c r="I151" s="60">
        <f>I152</f>
        <v>1718400</v>
      </c>
      <c r="J151" s="3"/>
      <c r="K151" s="60">
        <f>K152</f>
        <v>1718400</v>
      </c>
      <c r="L151" s="133"/>
      <c r="M151" s="60">
        <f>M152</f>
        <v>1718400</v>
      </c>
      <c r="N151" s="133"/>
      <c r="O151" s="60">
        <f>O152</f>
        <v>1718400</v>
      </c>
      <c r="P151" s="133"/>
      <c r="Q151" s="60">
        <f>Q152</f>
        <v>1718400</v>
      </c>
    </row>
    <row r="152" spans="2:17" ht="47.25">
      <c r="B152" s="7" t="s">
        <v>157</v>
      </c>
      <c r="C152" s="4"/>
      <c r="D152" s="46" t="s">
        <v>156</v>
      </c>
      <c r="E152" s="4" t="s">
        <v>158</v>
      </c>
      <c r="F152" s="4"/>
      <c r="G152" s="60">
        <f>G156+G154+G155+G153</f>
        <v>0</v>
      </c>
      <c r="H152" s="3"/>
      <c r="I152" s="60">
        <f>I156+I154+I155+I153</f>
        <v>1718400</v>
      </c>
      <c r="J152" s="3"/>
      <c r="K152" s="60">
        <f>K156+K154+K155+K153</f>
        <v>1718400</v>
      </c>
      <c r="L152" s="133"/>
      <c r="M152" s="60">
        <f>M156+M154+M155+M153</f>
        <v>1718400</v>
      </c>
      <c r="N152" s="133"/>
      <c r="O152" s="60">
        <f>O156+O154+O155+O153</f>
        <v>1718400</v>
      </c>
      <c r="P152" s="133"/>
      <c r="Q152" s="60">
        <f>Q156+Q154+Q155+Q153</f>
        <v>1718400</v>
      </c>
    </row>
    <row r="153" spans="2:17" ht="18.75" customHeight="1">
      <c r="B153" s="31" t="s">
        <v>320</v>
      </c>
      <c r="C153" s="8">
        <v>901</v>
      </c>
      <c r="D153" s="8" t="s">
        <v>156</v>
      </c>
      <c r="E153" s="8" t="s">
        <v>158</v>
      </c>
      <c r="F153" s="8" t="s">
        <v>325</v>
      </c>
      <c r="G153" s="86">
        <v>0</v>
      </c>
      <c r="H153" s="3">
        <v>1004500</v>
      </c>
      <c r="I153" s="86">
        <f>G153+H153</f>
        <v>1004500</v>
      </c>
      <c r="J153" s="3">
        <v>0</v>
      </c>
      <c r="K153" s="86">
        <v>1074840</v>
      </c>
      <c r="L153" s="133">
        <v>162693</v>
      </c>
      <c r="M153" s="86">
        <f>K153+L153</f>
        <v>1237533</v>
      </c>
      <c r="N153" s="133">
        <v>0</v>
      </c>
      <c r="O153" s="86">
        <f>M153+N153</f>
        <v>1237533</v>
      </c>
      <c r="P153" s="133"/>
      <c r="Q153" s="86">
        <f>O153+P153</f>
        <v>1237533</v>
      </c>
    </row>
    <row r="154" spans="2:17" ht="31.5">
      <c r="B154" s="31" t="s">
        <v>321</v>
      </c>
      <c r="C154" s="8">
        <v>901</v>
      </c>
      <c r="D154" s="8" t="s">
        <v>156</v>
      </c>
      <c r="E154" s="8" t="s">
        <v>158</v>
      </c>
      <c r="F154" s="8" t="s">
        <v>326</v>
      </c>
      <c r="G154" s="86">
        <v>0</v>
      </c>
      <c r="H154" s="3">
        <v>0</v>
      </c>
      <c r="I154" s="86">
        <f>G154+H154</f>
        <v>0</v>
      </c>
      <c r="J154" s="3">
        <v>0</v>
      </c>
      <c r="K154" s="86">
        <f>I154+J154</f>
        <v>0</v>
      </c>
      <c r="L154" s="133">
        <v>690</v>
      </c>
      <c r="M154" s="86">
        <f>K154+L154</f>
        <v>690</v>
      </c>
      <c r="N154" s="133">
        <v>0</v>
      </c>
      <c r="O154" s="86">
        <f>M154+N154</f>
        <v>690</v>
      </c>
      <c r="P154" s="133"/>
      <c r="Q154" s="86">
        <f>O154+P154</f>
        <v>690</v>
      </c>
    </row>
    <row r="155" spans="2:17" ht="47.25">
      <c r="B155" s="31" t="s">
        <v>322</v>
      </c>
      <c r="C155" s="8">
        <v>901</v>
      </c>
      <c r="D155" s="8" t="s">
        <v>156</v>
      </c>
      <c r="E155" s="8" t="s">
        <v>158</v>
      </c>
      <c r="F155" s="8" t="s">
        <v>327</v>
      </c>
      <c r="G155" s="86">
        <v>0</v>
      </c>
      <c r="H155" s="3">
        <v>168250</v>
      </c>
      <c r="I155" s="86">
        <f>G155+H155</f>
        <v>168250</v>
      </c>
      <c r="J155" s="3">
        <v>0</v>
      </c>
      <c r="K155" s="86">
        <v>160000</v>
      </c>
      <c r="L155" s="133">
        <v>-31500</v>
      </c>
      <c r="M155" s="86">
        <f>K155+L155</f>
        <v>128500</v>
      </c>
      <c r="N155" s="133">
        <v>76996</v>
      </c>
      <c r="O155" s="86">
        <f>M155+N155</f>
        <v>205496</v>
      </c>
      <c r="P155" s="133"/>
      <c r="Q155" s="86">
        <f>O155+P155</f>
        <v>205496</v>
      </c>
    </row>
    <row r="156" spans="2:17" ht="31.5">
      <c r="B156" s="31" t="s">
        <v>382</v>
      </c>
      <c r="C156" s="8">
        <v>901</v>
      </c>
      <c r="D156" s="8" t="s">
        <v>156</v>
      </c>
      <c r="E156" s="8" t="s">
        <v>158</v>
      </c>
      <c r="F156" s="8" t="s">
        <v>328</v>
      </c>
      <c r="G156" s="86">
        <v>0</v>
      </c>
      <c r="H156" s="3">
        <v>545650</v>
      </c>
      <c r="I156" s="86">
        <f>G156+H156</f>
        <v>545650</v>
      </c>
      <c r="J156" s="3">
        <v>0</v>
      </c>
      <c r="K156" s="86">
        <v>483560</v>
      </c>
      <c r="L156" s="133">
        <v>-131883</v>
      </c>
      <c r="M156" s="86">
        <f>K156+L156</f>
        <v>351677</v>
      </c>
      <c r="N156" s="133">
        <v>-76996</v>
      </c>
      <c r="O156" s="86">
        <f>M156+N156</f>
        <v>274681</v>
      </c>
      <c r="P156" s="133"/>
      <c r="Q156" s="86">
        <f>O156+P156</f>
        <v>274681</v>
      </c>
    </row>
    <row r="157" spans="2:17" ht="36" customHeight="1">
      <c r="B157" s="83" t="s">
        <v>159</v>
      </c>
      <c r="C157" s="5" t="s">
        <v>25</v>
      </c>
      <c r="D157" s="45" t="s">
        <v>25</v>
      </c>
      <c r="E157" s="5"/>
      <c r="F157" s="4"/>
      <c r="G157" s="60" t="e">
        <f>SUM(G158+G169+G176)</f>
        <v>#REF!</v>
      </c>
      <c r="H157" s="3"/>
      <c r="I157" s="60">
        <f>SUM(I158+I169+I176)</f>
        <v>4375500</v>
      </c>
      <c r="J157" s="3"/>
      <c r="K157" s="60">
        <f>SUM(K158+K169+K176)</f>
        <v>4375500</v>
      </c>
      <c r="L157" s="133"/>
      <c r="M157" s="60">
        <f>SUM(M158+M169+M176)</f>
        <v>4330500</v>
      </c>
      <c r="N157" s="133"/>
      <c r="O157" s="60">
        <f>SUM(O158+O169+O176)</f>
        <v>4300500</v>
      </c>
      <c r="P157" s="133"/>
      <c r="Q157" s="60">
        <f>SUM(Q158+Q169+Q176)</f>
        <v>4300500</v>
      </c>
    </row>
    <row r="158" spans="2:17" ht="54" customHeight="1">
      <c r="B158" s="107" t="s">
        <v>480</v>
      </c>
      <c r="C158" s="8"/>
      <c r="D158" s="46" t="s">
        <v>26</v>
      </c>
      <c r="E158" s="8"/>
      <c r="F158" s="8"/>
      <c r="G158" s="60" t="e">
        <f>G159+#REF!</f>
        <v>#REF!</v>
      </c>
      <c r="H158" s="3"/>
      <c r="I158" s="60">
        <f>I159</f>
        <v>2804000</v>
      </c>
      <c r="J158" s="3"/>
      <c r="K158" s="60">
        <f>K159</f>
        <v>2804000</v>
      </c>
      <c r="L158" s="133"/>
      <c r="M158" s="60">
        <f>M159</f>
        <v>2759000</v>
      </c>
      <c r="N158" s="133"/>
      <c r="O158" s="60">
        <f>O159</f>
        <v>2729000</v>
      </c>
      <c r="P158" s="133"/>
      <c r="Q158" s="60">
        <f>Q159</f>
        <v>2729000</v>
      </c>
    </row>
    <row r="159" spans="2:17" ht="51" customHeight="1">
      <c r="B159" s="30" t="s">
        <v>160</v>
      </c>
      <c r="C159" s="8"/>
      <c r="D159" s="46" t="s">
        <v>26</v>
      </c>
      <c r="E159" s="8">
        <v>2180000</v>
      </c>
      <c r="F159" s="8"/>
      <c r="G159" s="60" t="e">
        <f>G160+G163</f>
        <v>#REF!</v>
      </c>
      <c r="H159" s="3"/>
      <c r="I159" s="60">
        <f>I160+I163</f>
        <v>2804000</v>
      </c>
      <c r="J159" s="3"/>
      <c r="K159" s="60">
        <f>K160+K163</f>
        <v>2804000</v>
      </c>
      <c r="L159" s="133"/>
      <c r="M159" s="60">
        <f>M160+M163</f>
        <v>2759000</v>
      </c>
      <c r="N159" s="133"/>
      <c r="O159" s="60">
        <f>O160+O163</f>
        <v>2729000</v>
      </c>
      <c r="P159" s="133"/>
      <c r="Q159" s="60">
        <f>Q160+Q163</f>
        <v>2729000</v>
      </c>
    </row>
    <row r="160" spans="2:17" ht="47.25">
      <c r="B160" s="30" t="s">
        <v>161</v>
      </c>
      <c r="C160" s="8"/>
      <c r="D160" s="46" t="s">
        <v>26</v>
      </c>
      <c r="E160" s="8" t="s">
        <v>162</v>
      </c>
      <c r="F160" s="8"/>
      <c r="G160" s="60" t="e">
        <f>G162+#REF!+G161</f>
        <v>#REF!</v>
      </c>
      <c r="H160" s="3"/>
      <c r="I160" s="60">
        <f>I162+I161</f>
        <v>1080000</v>
      </c>
      <c r="J160" s="3"/>
      <c r="K160" s="60">
        <f>K162+K161</f>
        <v>1080000</v>
      </c>
      <c r="L160" s="133"/>
      <c r="M160" s="60">
        <f>M162+M161</f>
        <v>1035000</v>
      </c>
      <c r="N160" s="133"/>
      <c r="O160" s="60">
        <f>O162+O161</f>
        <v>1005000</v>
      </c>
      <c r="P160" s="133"/>
      <c r="Q160" s="60">
        <f>Q162+Q161</f>
        <v>1005000</v>
      </c>
    </row>
    <row r="161" spans="2:17" ht="47.25" customHeight="1">
      <c r="B161" s="31" t="s">
        <v>322</v>
      </c>
      <c r="C161" s="8"/>
      <c r="D161" s="98" t="s">
        <v>26</v>
      </c>
      <c r="E161" s="97" t="s">
        <v>162</v>
      </c>
      <c r="F161" s="97" t="s">
        <v>327</v>
      </c>
      <c r="G161" s="60">
        <v>0</v>
      </c>
      <c r="H161" s="110">
        <v>0</v>
      </c>
      <c r="I161" s="60">
        <f>G161+H161</f>
        <v>0</v>
      </c>
      <c r="J161" s="110">
        <v>18000</v>
      </c>
      <c r="K161" s="60">
        <f>I161+J161</f>
        <v>18000</v>
      </c>
      <c r="L161" s="136"/>
      <c r="M161" s="60">
        <f>K161+L161</f>
        <v>18000</v>
      </c>
      <c r="N161" s="136"/>
      <c r="O161" s="60">
        <f>M161+N161</f>
        <v>18000</v>
      </c>
      <c r="P161" s="134"/>
      <c r="Q161" s="60">
        <f>O161+P161</f>
        <v>18000</v>
      </c>
    </row>
    <row r="162" spans="2:17" ht="34.5" customHeight="1">
      <c r="B162" s="31" t="s">
        <v>382</v>
      </c>
      <c r="C162" s="8"/>
      <c r="D162" s="46" t="s">
        <v>26</v>
      </c>
      <c r="E162" s="8" t="s">
        <v>162</v>
      </c>
      <c r="F162" s="8" t="s">
        <v>328</v>
      </c>
      <c r="G162" s="60">
        <v>0</v>
      </c>
      <c r="H162" s="110">
        <v>1080000</v>
      </c>
      <c r="I162" s="60">
        <f>G162+H162</f>
        <v>1080000</v>
      </c>
      <c r="J162" s="110">
        <v>-18000</v>
      </c>
      <c r="K162" s="60">
        <f>I162+J162</f>
        <v>1062000</v>
      </c>
      <c r="L162" s="136">
        <v>-45000</v>
      </c>
      <c r="M162" s="60">
        <f>K162+L162</f>
        <v>1017000</v>
      </c>
      <c r="N162" s="136">
        <v>-30000</v>
      </c>
      <c r="O162" s="60">
        <f>M162+N162</f>
        <v>987000</v>
      </c>
      <c r="P162" s="134"/>
      <c r="Q162" s="60">
        <f>O162+P162</f>
        <v>987000</v>
      </c>
    </row>
    <row r="163" spans="2:17" ht="51" customHeight="1">
      <c r="B163" s="31" t="s">
        <v>430</v>
      </c>
      <c r="C163" s="8"/>
      <c r="D163" s="46" t="s">
        <v>26</v>
      </c>
      <c r="E163" s="8" t="s">
        <v>429</v>
      </c>
      <c r="F163" s="8"/>
      <c r="G163" s="60">
        <f>G164+G165+G166+G167</f>
        <v>0</v>
      </c>
      <c r="H163" s="3"/>
      <c r="I163" s="60">
        <f>I164+I165+I166+I167</f>
        <v>1724000</v>
      </c>
      <c r="J163" s="3"/>
      <c r="K163" s="60">
        <f>K164+K165+K166+K167</f>
        <v>1724000</v>
      </c>
      <c r="L163" s="133"/>
      <c r="M163" s="60">
        <f>M164+M165+M166+M167</f>
        <v>1724000</v>
      </c>
      <c r="N163" s="133"/>
      <c r="O163" s="60">
        <f>O164+O165+O166+O167</f>
        <v>1724000</v>
      </c>
      <c r="P163" s="133"/>
      <c r="Q163" s="60">
        <f>Q164+Q165+Q166+Q167</f>
        <v>1724000</v>
      </c>
    </row>
    <row r="164" spans="2:17" ht="20.25" customHeight="1">
      <c r="B164" s="31" t="s">
        <v>320</v>
      </c>
      <c r="C164" s="8" t="s">
        <v>200</v>
      </c>
      <c r="D164" s="8" t="s">
        <v>26</v>
      </c>
      <c r="E164" s="8" t="s">
        <v>429</v>
      </c>
      <c r="F164" s="8" t="s">
        <v>325</v>
      </c>
      <c r="G164" s="60">
        <v>0</v>
      </c>
      <c r="H164" s="3">
        <v>1328246</v>
      </c>
      <c r="I164" s="60">
        <f>G164+H164</f>
        <v>1328246</v>
      </c>
      <c r="J164" s="3">
        <v>0</v>
      </c>
      <c r="K164" s="60">
        <f>I164+J164</f>
        <v>1328246</v>
      </c>
      <c r="L164" s="133"/>
      <c r="M164" s="60">
        <f>K164+L164</f>
        <v>1328246</v>
      </c>
      <c r="N164" s="133"/>
      <c r="O164" s="60">
        <f>M164+N164</f>
        <v>1328246</v>
      </c>
      <c r="P164" s="133"/>
      <c r="Q164" s="60">
        <f>O164+P164</f>
        <v>1328246</v>
      </c>
    </row>
    <row r="165" spans="2:17" ht="35.25" customHeight="1">
      <c r="B165" s="31" t="s">
        <v>321</v>
      </c>
      <c r="C165" s="8" t="s">
        <v>200</v>
      </c>
      <c r="D165" s="8" t="s">
        <v>26</v>
      </c>
      <c r="E165" s="8" t="s">
        <v>429</v>
      </c>
      <c r="F165" s="8" t="s">
        <v>326</v>
      </c>
      <c r="G165" s="60">
        <v>0</v>
      </c>
      <c r="H165" s="3">
        <v>46000</v>
      </c>
      <c r="I165" s="60">
        <f>G165+H165</f>
        <v>46000</v>
      </c>
      <c r="J165" s="3">
        <v>0</v>
      </c>
      <c r="K165" s="60">
        <f>I165+J165</f>
        <v>46000</v>
      </c>
      <c r="L165" s="133"/>
      <c r="M165" s="60">
        <f>K165+L165</f>
        <v>46000</v>
      </c>
      <c r="N165" s="133"/>
      <c r="O165" s="60">
        <f>M165+N165</f>
        <v>46000</v>
      </c>
      <c r="P165" s="133"/>
      <c r="Q165" s="60">
        <f>O165+P165</f>
        <v>46000</v>
      </c>
    </row>
    <row r="166" spans="2:17" ht="33.75" customHeight="1">
      <c r="B166" s="31" t="s">
        <v>322</v>
      </c>
      <c r="C166" s="8" t="s">
        <v>200</v>
      </c>
      <c r="D166" s="8" t="s">
        <v>26</v>
      </c>
      <c r="E166" s="8" t="s">
        <v>429</v>
      </c>
      <c r="F166" s="8" t="s">
        <v>327</v>
      </c>
      <c r="G166" s="60">
        <v>0</v>
      </c>
      <c r="H166" s="3">
        <v>91000</v>
      </c>
      <c r="I166" s="60">
        <f>G166+H166</f>
        <v>91000</v>
      </c>
      <c r="J166" s="3">
        <v>0</v>
      </c>
      <c r="K166" s="60">
        <f>I166+J166</f>
        <v>91000</v>
      </c>
      <c r="L166" s="133">
        <v>47400</v>
      </c>
      <c r="M166" s="60">
        <f>K166+L166</f>
        <v>138400</v>
      </c>
      <c r="N166" s="133">
        <v>0</v>
      </c>
      <c r="O166" s="60">
        <f>M166+N166</f>
        <v>138400</v>
      </c>
      <c r="P166" s="133"/>
      <c r="Q166" s="60">
        <f>O166+P166</f>
        <v>138400</v>
      </c>
    </row>
    <row r="167" spans="2:17" ht="36" customHeight="1">
      <c r="B167" s="31" t="s">
        <v>382</v>
      </c>
      <c r="C167" s="8" t="s">
        <v>200</v>
      </c>
      <c r="D167" s="8" t="s">
        <v>26</v>
      </c>
      <c r="E167" s="8" t="s">
        <v>429</v>
      </c>
      <c r="F167" s="8" t="s">
        <v>328</v>
      </c>
      <c r="G167" s="60">
        <v>0</v>
      </c>
      <c r="H167" s="3">
        <v>258754</v>
      </c>
      <c r="I167" s="60">
        <f>G167+H167</f>
        <v>258754</v>
      </c>
      <c r="J167" s="3">
        <v>0</v>
      </c>
      <c r="K167" s="60">
        <f>I167+J167</f>
        <v>258754</v>
      </c>
      <c r="L167" s="133">
        <v>-47400</v>
      </c>
      <c r="M167" s="60">
        <f>K167+L167</f>
        <v>211354</v>
      </c>
      <c r="N167" s="133">
        <v>0</v>
      </c>
      <c r="O167" s="60">
        <f>M167+N167</f>
        <v>211354</v>
      </c>
      <c r="P167" s="133"/>
      <c r="Q167" s="60">
        <f>O167+P167</f>
        <v>211354</v>
      </c>
    </row>
    <row r="168" spans="2:17" ht="24" customHeight="1" hidden="1">
      <c r="B168" s="31"/>
      <c r="C168" s="8"/>
      <c r="D168" s="46"/>
      <c r="E168" s="8"/>
      <c r="F168" s="8"/>
      <c r="G168" s="60"/>
      <c r="H168" s="3"/>
      <c r="I168" s="60"/>
      <c r="J168" s="3"/>
      <c r="K168" s="60"/>
      <c r="L168" s="133"/>
      <c r="M168" s="60"/>
      <c r="N168" s="133"/>
      <c r="O168" s="60"/>
      <c r="P168" s="133"/>
      <c r="Q168" s="60"/>
    </row>
    <row r="169" spans="2:17" ht="18.75" customHeight="1">
      <c r="B169" s="30" t="s">
        <v>163</v>
      </c>
      <c r="C169" s="10"/>
      <c r="D169" s="46" t="s">
        <v>27</v>
      </c>
      <c r="E169" s="8"/>
      <c r="F169" s="8"/>
      <c r="G169" s="60" t="e">
        <f>G170+G174</f>
        <v>#REF!</v>
      </c>
      <c r="H169" s="3"/>
      <c r="I169" s="60">
        <f>I170+I173</f>
        <v>1338000</v>
      </c>
      <c r="J169" s="3"/>
      <c r="K169" s="60">
        <f>K170+K173</f>
        <v>1338000</v>
      </c>
      <c r="L169" s="133"/>
      <c r="M169" s="60">
        <f>M170+M173</f>
        <v>1338000</v>
      </c>
      <c r="N169" s="133"/>
      <c r="O169" s="60">
        <f>O170+O173</f>
        <v>1338000</v>
      </c>
      <c r="P169" s="133"/>
      <c r="Q169" s="60">
        <f>Q170+Q173</f>
        <v>1338000</v>
      </c>
    </row>
    <row r="170" spans="2:17" ht="56.25" customHeight="1">
      <c r="B170" s="105" t="s">
        <v>561</v>
      </c>
      <c r="C170" s="8"/>
      <c r="D170" s="46" t="s">
        <v>27</v>
      </c>
      <c r="E170" s="97" t="s">
        <v>509</v>
      </c>
      <c r="F170" s="8"/>
      <c r="G170" s="60" t="e">
        <f>G171</f>
        <v>#REF!</v>
      </c>
      <c r="H170" s="3"/>
      <c r="I170" s="60">
        <f>I171</f>
        <v>381000</v>
      </c>
      <c r="J170" s="3"/>
      <c r="K170" s="60">
        <f>K171</f>
        <v>381000</v>
      </c>
      <c r="L170" s="133"/>
      <c r="M170" s="60">
        <f>M171</f>
        <v>381000</v>
      </c>
      <c r="N170" s="133"/>
      <c r="O170" s="60">
        <f>O171</f>
        <v>381000</v>
      </c>
      <c r="P170" s="133"/>
      <c r="Q170" s="60">
        <f>Q171</f>
        <v>381000</v>
      </c>
    </row>
    <row r="171" spans="2:17" ht="31.5">
      <c r="B171" s="105" t="s">
        <v>563</v>
      </c>
      <c r="C171" s="8"/>
      <c r="D171" s="46" t="s">
        <v>27</v>
      </c>
      <c r="E171" s="97" t="s">
        <v>510</v>
      </c>
      <c r="F171" s="8"/>
      <c r="G171" s="60" t="e">
        <f>G172+#REF!</f>
        <v>#REF!</v>
      </c>
      <c r="H171" s="3"/>
      <c r="I171" s="60">
        <f>I172</f>
        <v>381000</v>
      </c>
      <c r="J171" s="3"/>
      <c r="K171" s="60">
        <f>K172</f>
        <v>381000</v>
      </c>
      <c r="L171" s="133"/>
      <c r="M171" s="60">
        <f>M172</f>
        <v>381000</v>
      </c>
      <c r="N171" s="133"/>
      <c r="O171" s="60">
        <f>O172</f>
        <v>381000</v>
      </c>
      <c r="P171" s="133"/>
      <c r="Q171" s="60">
        <f>Q172</f>
        <v>381000</v>
      </c>
    </row>
    <row r="172" spans="2:17" ht="35.25" customHeight="1">
      <c r="B172" s="31" t="s">
        <v>382</v>
      </c>
      <c r="C172" s="8"/>
      <c r="D172" s="46" t="s">
        <v>27</v>
      </c>
      <c r="E172" s="97" t="s">
        <v>510</v>
      </c>
      <c r="F172" s="8" t="s">
        <v>328</v>
      </c>
      <c r="G172" s="60">
        <v>0</v>
      </c>
      <c r="H172" s="110">
        <v>381000</v>
      </c>
      <c r="I172" s="60">
        <f>G172+H172</f>
        <v>381000</v>
      </c>
      <c r="J172" s="110">
        <v>0</v>
      </c>
      <c r="K172" s="60">
        <f>I172+J172</f>
        <v>381000</v>
      </c>
      <c r="L172" s="136"/>
      <c r="M172" s="60">
        <f>K172+L172</f>
        <v>381000</v>
      </c>
      <c r="N172" s="136"/>
      <c r="O172" s="60">
        <f>M172+N172</f>
        <v>381000</v>
      </c>
      <c r="P172" s="134"/>
      <c r="Q172" s="60">
        <f>O172+P172</f>
        <v>381000</v>
      </c>
    </row>
    <row r="173" spans="2:17" ht="15.75">
      <c r="B173" s="12" t="s">
        <v>313</v>
      </c>
      <c r="C173" s="126"/>
      <c r="D173" s="98" t="s">
        <v>27</v>
      </c>
      <c r="E173" s="97" t="s">
        <v>104</v>
      </c>
      <c r="F173" s="8"/>
      <c r="G173" s="60"/>
      <c r="H173" s="110"/>
      <c r="I173" s="60">
        <f>I174</f>
        <v>957000</v>
      </c>
      <c r="J173" s="110"/>
      <c r="K173" s="60">
        <f>K174</f>
        <v>957000</v>
      </c>
      <c r="L173" s="136"/>
      <c r="M173" s="60">
        <f>M174</f>
        <v>957000</v>
      </c>
      <c r="N173" s="136"/>
      <c r="O173" s="60">
        <f>O174</f>
        <v>957000</v>
      </c>
      <c r="P173" s="134"/>
      <c r="Q173" s="60">
        <f>Q174</f>
        <v>957000</v>
      </c>
    </row>
    <row r="174" spans="2:17" ht="65.25" customHeight="1">
      <c r="B174" s="32" t="s">
        <v>299</v>
      </c>
      <c r="C174" s="85"/>
      <c r="D174" s="46" t="s">
        <v>27</v>
      </c>
      <c r="E174" s="4" t="s">
        <v>286</v>
      </c>
      <c r="F174" s="4"/>
      <c r="G174" s="60">
        <f>G175</f>
        <v>0</v>
      </c>
      <c r="H174" s="3"/>
      <c r="I174" s="60">
        <f>I175</f>
        <v>957000</v>
      </c>
      <c r="J174" s="3"/>
      <c r="K174" s="60">
        <f>K175</f>
        <v>957000</v>
      </c>
      <c r="L174" s="133"/>
      <c r="M174" s="60">
        <f>M175</f>
        <v>957000</v>
      </c>
      <c r="N174" s="133"/>
      <c r="O174" s="60">
        <f>O175</f>
        <v>957000</v>
      </c>
      <c r="P174" s="133"/>
      <c r="Q174" s="60">
        <f>Q175</f>
        <v>957000</v>
      </c>
    </row>
    <row r="175" spans="2:17" ht="33" customHeight="1">
      <c r="B175" s="31" t="s">
        <v>382</v>
      </c>
      <c r="C175" s="4"/>
      <c r="D175" s="46" t="s">
        <v>27</v>
      </c>
      <c r="E175" s="4" t="s">
        <v>286</v>
      </c>
      <c r="F175" s="102" t="s">
        <v>328</v>
      </c>
      <c r="G175" s="60">
        <v>0</v>
      </c>
      <c r="H175" s="3">
        <v>957000</v>
      </c>
      <c r="I175" s="60">
        <f>G175+H175</f>
        <v>957000</v>
      </c>
      <c r="J175" s="3">
        <v>0</v>
      </c>
      <c r="K175" s="60">
        <f>I175+J175</f>
        <v>957000</v>
      </c>
      <c r="L175" s="133"/>
      <c r="M175" s="60">
        <f>K175+L175</f>
        <v>957000</v>
      </c>
      <c r="N175" s="133"/>
      <c r="O175" s="60">
        <f>M175+N175</f>
        <v>957000</v>
      </c>
      <c r="P175" s="133"/>
      <c r="Q175" s="60">
        <f>O175+P175</f>
        <v>957000</v>
      </c>
    </row>
    <row r="176" spans="2:17" ht="33" customHeight="1">
      <c r="B176" s="114" t="s">
        <v>508</v>
      </c>
      <c r="C176" s="24"/>
      <c r="D176" s="98" t="s">
        <v>507</v>
      </c>
      <c r="E176" s="5"/>
      <c r="F176" s="4"/>
      <c r="G176" s="60" t="e">
        <f>G178</f>
        <v>#REF!</v>
      </c>
      <c r="H176" s="3"/>
      <c r="I176" s="60">
        <f>I177</f>
        <v>233500</v>
      </c>
      <c r="J176" s="3"/>
      <c r="K176" s="60">
        <f>K177</f>
        <v>233500</v>
      </c>
      <c r="L176" s="133"/>
      <c r="M176" s="60">
        <f>M177</f>
        <v>233500</v>
      </c>
      <c r="N176" s="133"/>
      <c r="O176" s="60">
        <f>O177</f>
        <v>233500</v>
      </c>
      <c r="P176" s="133"/>
      <c r="Q176" s="60">
        <f>Q177</f>
        <v>233500</v>
      </c>
    </row>
    <row r="177" spans="2:17" ht="15.75">
      <c r="B177" s="12" t="s">
        <v>313</v>
      </c>
      <c r="C177" s="24"/>
      <c r="D177" s="98" t="s">
        <v>507</v>
      </c>
      <c r="E177" s="102" t="s">
        <v>104</v>
      </c>
      <c r="F177" s="4"/>
      <c r="G177" s="60"/>
      <c r="H177" s="3"/>
      <c r="I177" s="60">
        <f>I178</f>
        <v>233500</v>
      </c>
      <c r="J177" s="3"/>
      <c r="K177" s="60">
        <f>K178</f>
        <v>233500</v>
      </c>
      <c r="L177" s="133"/>
      <c r="M177" s="60">
        <f>M178</f>
        <v>233500</v>
      </c>
      <c r="N177" s="133"/>
      <c r="O177" s="60">
        <f>O178</f>
        <v>233500</v>
      </c>
      <c r="P177" s="133"/>
      <c r="Q177" s="60">
        <f>Q178</f>
        <v>233500</v>
      </c>
    </row>
    <row r="178" spans="2:17" ht="63">
      <c r="B178" s="96" t="s">
        <v>314</v>
      </c>
      <c r="C178" s="5"/>
      <c r="D178" s="98" t="s">
        <v>507</v>
      </c>
      <c r="E178" s="4" t="s">
        <v>260</v>
      </c>
      <c r="F178" s="5"/>
      <c r="G178" s="60" t="e">
        <f>#REF!+G179</f>
        <v>#REF!</v>
      </c>
      <c r="H178" s="3"/>
      <c r="I178" s="60">
        <f>I179</f>
        <v>233500</v>
      </c>
      <c r="J178" s="3"/>
      <c r="K178" s="60">
        <f>K179</f>
        <v>233500</v>
      </c>
      <c r="L178" s="133"/>
      <c r="M178" s="60">
        <f>M179</f>
        <v>233500</v>
      </c>
      <c r="N178" s="133"/>
      <c r="O178" s="60">
        <f>O179</f>
        <v>233500</v>
      </c>
      <c r="P178" s="133"/>
      <c r="Q178" s="60">
        <f>Q179</f>
        <v>233500</v>
      </c>
    </row>
    <row r="179" spans="2:17" ht="33" customHeight="1">
      <c r="B179" s="31" t="s">
        <v>394</v>
      </c>
      <c r="C179" s="5"/>
      <c r="D179" s="98" t="s">
        <v>507</v>
      </c>
      <c r="E179" s="4" t="s">
        <v>260</v>
      </c>
      <c r="F179" s="4" t="s">
        <v>328</v>
      </c>
      <c r="G179" s="60">
        <v>0</v>
      </c>
      <c r="H179" s="3">
        <v>233500</v>
      </c>
      <c r="I179" s="60">
        <f>G179+H179</f>
        <v>233500</v>
      </c>
      <c r="J179" s="3">
        <v>0</v>
      </c>
      <c r="K179" s="60">
        <f>I179+J179</f>
        <v>233500</v>
      </c>
      <c r="L179" s="133"/>
      <c r="M179" s="60">
        <f>K179+L179</f>
        <v>233500</v>
      </c>
      <c r="N179" s="133"/>
      <c r="O179" s="60">
        <f>M179+N179</f>
        <v>233500</v>
      </c>
      <c r="P179" s="133"/>
      <c r="Q179" s="60">
        <f>O179+P179</f>
        <v>233500</v>
      </c>
    </row>
    <row r="180" spans="2:17" ht="17.25" customHeight="1">
      <c r="B180" s="59" t="s">
        <v>28</v>
      </c>
      <c r="C180" s="8" t="s">
        <v>29</v>
      </c>
      <c r="D180" s="45" t="s">
        <v>29</v>
      </c>
      <c r="E180" s="8"/>
      <c r="F180" s="8"/>
      <c r="G180" s="60" t="e">
        <f>SUM(G181+G184+G190+G222+G217+G197)</f>
        <v>#REF!</v>
      </c>
      <c r="H180" s="3"/>
      <c r="I180" s="60" t="e">
        <f>SUM(I181+I184+I190+I222+I217+I197)</f>
        <v>#REF!</v>
      </c>
      <c r="J180" s="3"/>
      <c r="K180" s="60">
        <f>SUM(K181+K184+K190+K222+K217+K197)</f>
        <v>19382660</v>
      </c>
      <c r="L180" s="133"/>
      <c r="M180" s="60">
        <f>SUM(M181+M184+M190+M222+M217+M197)</f>
        <v>31448485.5</v>
      </c>
      <c r="N180" s="133"/>
      <c r="O180" s="60">
        <f>SUM(O181+O184+O190+O222+O217+O197)</f>
        <v>30052182.3</v>
      </c>
      <c r="P180" s="133"/>
      <c r="Q180" s="60">
        <f>SUM(Q181+Q184+Q190+Q222+Q217+Q197)</f>
        <v>27996906.630000003</v>
      </c>
    </row>
    <row r="181" spans="2:17" ht="19.5" customHeight="1">
      <c r="B181" s="30" t="s">
        <v>30</v>
      </c>
      <c r="C181" s="8"/>
      <c r="D181" s="46" t="s">
        <v>31</v>
      </c>
      <c r="E181" s="8"/>
      <c r="F181" s="8"/>
      <c r="G181" s="60">
        <f>G182</f>
        <v>0</v>
      </c>
      <c r="H181" s="3"/>
      <c r="I181" s="60">
        <f>I182</f>
        <v>85000</v>
      </c>
      <c r="J181" s="3"/>
      <c r="K181" s="60">
        <f>K182</f>
        <v>85000</v>
      </c>
      <c r="L181" s="133"/>
      <c r="M181" s="60">
        <f>M182</f>
        <v>85000</v>
      </c>
      <c r="N181" s="133"/>
      <c r="O181" s="60">
        <f>O182</f>
        <v>85000</v>
      </c>
      <c r="P181" s="133"/>
      <c r="Q181" s="60">
        <f>Q182</f>
        <v>85000</v>
      </c>
    </row>
    <row r="182" spans="2:17" ht="19.5" customHeight="1">
      <c r="B182" s="109" t="s">
        <v>481</v>
      </c>
      <c r="C182" s="8"/>
      <c r="D182" s="46" t="s">
        <v>31</v>
      </c>
      <c r="E182" s="8" t="s">
        <v>305</v>
      </c>
      <c r="F182" s="8"/>
      <c r="G182" s="60">
        <f>G183</f>
        <v>0</v>
      </c>
      <c r="H182" s="3"/>
      <c r="I182" s="60">
        <f>I183</f>
        <v>85000</v>
      </c>
      <c r="J182" s="3"/>
      <c r="K182" s="60">
        <f>K183</f>
        <v>85000</v>
      </c>
      <c r="L182" s="133"/>
      <c r="M182" s="60">
        <f>M183</f>
        <v>85000</v>
      </c>
      <c r="N182" s="133"/>
      <c r="O182" s="60">
        <f>O183</f>
        <v>85000</v>
      </c>
      <c r="P182" s="133"/>
      <c r="Q182" s="60">
        <f>Q183</f>
        <v>85000</v>
      </c>
    </row>
    <row r="183" spans="2:17" ht="16.5" customHeight="1">
      <c r="B183" s="30" t="s">
        <v>334</v>
      </c>
      <c r="C183" s="8"/>
      <c r="D183" s="46" t="s">
        <v>31</v>
      </c>
      <c r="E183" s="8" t="s">
        <v>305</v>
      </c>
      <c r="F183" s="8" t="s">
        <v>335</v>
      </c>
      <c r="G183" s="60">
        <v>0</v>
      </c>
      <c r="H183" s="3"/>
      <c r="I183" s="60">
        <v>85000</v>
      </c>
      <c r="J183" s="3"/>
      <c r="K183" s="60">
        <v>85000</v>
      </c>
      <c r="L183" s="133"/>
      <c r="M183" s="60">
        <v>85000</v>
      </c>
      <c r="N183" s="133"/>
      <c r="O183" s="60">
        <v>85000</v>
      </c>
      <c r="P183" s="133"/>
      <c r="Q183" s="60">
        <v>85000</v>
      </c>
    </row>
    <row r="184" spans="2:17" ht="20.25" customHeight="1">
      <c r="B184" s="30" t="s">
        <v>422</v>
      </c>
      <c r="C184" s="8"/>
      <c r="D184" s="46" t="s">
        <v>32</v>
      </c>
      <c r="E184" s="8"/>
      <c r="F184" s="8"/>
      <c r="G184" s="60" t="e">
        <f>#REF!+G188</f>
        <v>#REF!</v>
      </c>
      <c r="H184" s="3"/>
      <c r="I184" s="60">
        <f>I188</f>
        <v>1899000</v>
      </c>
      <c r="J184" s="3"/>
      <c r="K184" s="60">
        <f>K188</f>
        <v>1899000</v>
      </c>
      <c r="L184" s="133"/>
      <c r="M184" s="60">
        <f>M188</f>
        <v>1899000</v>
      </c>
      <c r="N184" s="133"/>
      <c r="O184" s="60">
        <f>O188</f>
        <v>1899000</v>
      </c>
      <c r="P184" s="133"/>
      <c r="Q184" s="60">
        <f>Q188</f>
        <v>1899000</v>
      </c>
    </row>
    <row r="185" spans="2:17" ht="18.75" customHeight="1" hidden="1">
      <c r="B185" s="30" t="s">
        <v>33</v>
      </c>
      <c r="C185" s="8"/>
      <c r="D185" s="46" t="s">
        <v>32</v>
      </c>
      <c r="E185" s="8">
        <v>2800000</v>
      </c>
      <c r="F185" s="8"/>
      <c r="G185" s="60" t="e">
        <f>G186</f>
        <v>#REF!</v>
      </c>
      <c r="H185" s="3"/>
      <c r="I185" s="60" t="e">
        <f>I186</f>
        <v>#REF!</v>
      </c>
      <c r="J185" s="3"/>
      <c r="K185" s="60" t="e">
        <f>K186</f>
        <v>#REF!</v>
      </c>
      <c r="L185" s="133"/>
      <c r="M185" s="60" t="e">
        <f>M186</f>
        <v>#REF!</v>
      </c>
      <c r="N185" s="133"/>
      <c r="O185" s="60" t="e">
        <f>O186</f>
        <v>#REF!</v>
      </c>
      <c r="P185" s="133"/>
      <c r="Q185" s="60" t="e">
        <f>Q186</f>
        <v>#REF!</v>
      </c>
    </row>
    <row r="186" spans="2:17" ht="53.25" customHeight="1" hidden="1">
      <c r="B186" s="30" t="s">
        <v>195</v>
      </c>
      <c r="C186" s="8"/>
      <c r="D186" s="46" t="s">
        <v>32</v>
      </c>
      <c r="E186" s="8" t="s">
        <v>34</v>
      </c>
      <c r="F186" s="8"/>
      <c r="G186" s="60" t="e">
        <f>G187</f>
        <v>#REF!</v>
      </c>
      <c r="H186" s="3"/>
      <c r="I186" s="60" t="e">
        <f>I187</f>
        <v>#REF!</v>
      </c>
      <c r="J186" s="3"/>
      <c r="K186" s="60" t="e">
        <f>K187</f>
        <v>#REF!</v>
      </c>
      <c r="L186" s="133"/>
      <c r="M186" s="60" t="e">
        <f>M187</f>
        <v>#REF!</v>
      </c>
      <c r="N186" s="133"/>
      <c r="O186" s="60" t="e">
        <f>O187</f>
        <v>#REF!</v>
      </c>
      <c r="P186" s="133"/>
      <c r="Q186" s="60" t="e">
        <f>Q187</f>
        <v>#REF!</v>
      </c>
    </row>
    <row r="187" spans="2:17" ht="33" customHeight="1" hidden="1">
      <c r="B187" s="12" t="s">
        <v>37</v>
      </c>
      <c r="C187" s="8"/>
      <c r="D187" s="46" t="s">
        <v>32</v>
      </c>
      <c r="E187" s="8" t="s">
        <v>34</v>
      </c>
      <c r="F187" s="8" t="s">
        <v>38</v>
      </c>
      <c r="G187" s="60" t="e">
        <f>#REF!+#REF!</f>
        <v>#REF!</v>
      </c>
      <c r="H187" s="3"/>
      <c r="I187" s="60" t="e">
        <f>G187+H187</f>
        <v>#REF!</v>
      </c>
      <c r="J187" s="3"/>
      <c r="K187" s="60" t="e">
        <f>I187+J187</f>
        <v>#REF!</v>
      </c>
      <c r="L187" s="133"/>
      <c r="M187" s="60" t="e">
        <f>K187+L187</f>
        <v>#REF!</v>
      </c>
      <c r="N187" s="133"/>
      <c r="O187" s="60" t="e">
        <f>M187+N187</f>
        <v>#REF!</v>
      </c>
      <c r="P187" s="133"/>
      <c r="Q187" s="60" t="e">
        <f>O187+P187</f>
        <v>#REF!</v>
      </c>
    </row>
    <row r="188" spans="2:17" ht="78" customHeight="1">
      <c r="B188" s="106" t="s">
        <v>490</v>
      </c>
      <c r="C188" s="8"/>
      <c r="D188" s="46" t="s">
        <v>32</v>
      </c>
      <c r="E188" s="8" t="s">
        <v>197</v>
      </c>
      <c r="F188" s="8"/>
      <c r="G188" s="60" t="e">
        <f>#REF!+G189</f>
        <v>#REF!</v>
      </c>
      <c r="H188" s="3"/>
      <c r="I188" s="60">
        <f>I189</f>
        <v>1899000</v>
      </c>
      <c r="J188" s="3"/>
      <c r="K188" s="60">
        <f>K189</f>
        <v>1899000</v>
      </c>
      <c r="L188" s="133"/>
      <c r="M188" s="60">
        <f>M189</f>
        <v>1899000</v>
      </c>
      <c r="N188" s="133"/>
      <c r="O188" s="60">
        <f>O189</f>
        <v>1899000</v>
      </c>
      <c r="P188" s="133"/>
      <c r="Q188" s="60">
        <f>Q189</f>
        <v>1899000</v>
      </c>
    </row>
    <row r="189" spans="2:17" ht="37.5" customHeight="1">
      <c r="B189" s="7" t="s">
        <v>377</v>
      </c>
      <c r="C189" s="8"/>
      <c r="D189" s="46" t="s">
        <v>32</v>
      </c>
      <c r="E189" s="8" t="s">
        <v>197</v>
      </c>
      <c r="F189" s="8" t="s">
        <v>328</v>
      </c>
      <c r="G189" s="60">
        <v>0</v>
      </c>
      <c r="H189" s="40">
        <v>0</v>
      </c>
      <c r="I189" s="60">
        <v>1899000</v>
      </c>
      <c r="J189" s="40">
        <v>0</v>
      </c>
      <c r="K189" s="60">
        <v>1899000</v>
      </c>
      <c r="L189" s="135"/>
      <c r="M189" s="60">
        <v>1899000</v>
      </c>
      <c r="N189" s="135"/>
      <c r="O189" s="60">
        <v>1899000</v>
      </c>
      <c r="P189" s="135"/>
      <c r="Q189" s="60">
        <v>1899000</v>
      </c>
    </row>
    <row r="190" spans="2:17" ht="15.75">
      <c r="B190" s="30" t="s">
        <v>165</v>
      </c>
      <c r="C190" s="8"/>
      <c r="D190" s="46" t="s">
        <v>166</v>
      </c>
      <c r="E190" s="8"/>
      <c r="F190" s="8"/>
      <c r="G190" s="60">
        <f>G191</f>
        <v>0</v>
      </c>
      <c r="H190" s="40"/>
      <c r="I190" s="60">
        <f>I191</f>
        <v>720000</v>
      </c>
      <c r="J190" s="40"/>
      <c r="K190" s="60">
        <f>K191</f>
        <v>720000</v>
      </c>
      <c r="L190" s="135"/>
      <c r="M190" s="60">
        <f>M191</f>
        <v>720000</v>
      </c>
      <c r="N190" s="135"/>
      <c r="O190" s="60">
        <f>O191</f>
        <v>220000</v>
      </c>
      <c r="P190" s="135"/>
      <c r="Q190" s="60">
        <f>Q191</f>
        <v>220000</v>
      </c>
    </row>
    <row r="191" spans="2:17" ht="17.25" customHeight="1">
      <c r="B191" s="30" t="s">
        <v>167</v>
      </c>
      <c r="C191" s="8"/>
      <c r="D191" s="46" t="s">
        <v>166</v>
      </c>
      <c r="E191" s="8" t="s">
        <v>168</v>
      </c>
      <c r="F191" s="8"/>
      <c r="G191" s="60">
        <f>G192</f>
        <v>0</v>
      </c>
      <c r="H191" s="40"/>
      <c r="I191" s="60">
        <f>I192</f>
        <v>720000</v>
      </c>
      <c r="J191" s="40"/>
      <c r="K191" s="60">
        <f>K192</f>
        <v>720000</v>
      </c>
      <c r="L191" s="135"/>
      <c r="M191" s="60">
        <f>M192</f>
        <v>720000</v>
      </c>
      <c r="N191" s="135"/>
      <c r="O191" s="60">
        <f>O192</f>
        <v>220000</v>
      </c>
      <c r="P191" s="135"/>
      <c r="Q191" s="60">
        <f>Q192</f>
        <v>220000</v>
      </c>
    </row>
    <row r="192" spans="2:17" ht="47.25">
      <c r="B192" s="30" t="s">
        <v>420</v>
      </c>
      <c r="C192" s="8"/>
      <c r="D192" s="46" t="s">
        <v>166</v>
      </c>
      <c r="E192" s="8" t="s">
        <v>169</v>
      </c>
      <c r="F192" s="8"/>
      <c r="G192" s="60">
        <f>G193+G195</f>
        <v>0</v>
      </c>
      <c r="H192" s="40"/>
      <c r="I192" s="60">
        <f>I193+I195</f>
        <v>720000</v>
      </c>
      <c r="J192" s="40"/>
      <c r="K192" s="60">
        <f>K193+K195</f>
        <v>720000</v>
      </c>
      <c r="L192" s="135"/>
      <c r="M192" s="60">
        <f>M193+M195</f>
        <v>720000</v>
      </c>
      <c r="N192" s="135"/>
      <c r="O192" s="60">
        <f>O193+O195</f>
        <v>220000</v>
      </c>
      <c r="P192" s="135"/>
      <c r="Q192" s="60">
        <f>Q193+Q195</f>
        <v>220000</v>
      </c>
    </row>
    <row r="193" spans="2:17" ht="63">
      <c r="B193" s="30" t="s">
        <v>421</v>
      </c>
      <c r="C193" s="8"/>
      <c r="D193" s="46" t="s">
        <v>166</v>
      </c>
      <c r="E193" s="8" t="s">
        <v>413</v>
      </c>
      <c r="F193" s="8"/>
      <c r="G193" s="60">
        <f>G194</f>
        <v>0</v>
      </c>
      <c r="H193" s="40"/>
      <c r="I193" s="60">
        <f>I194</f>
        <v>520000</v>
      </c>
      <c r="J193" s="40"/>
      <c r="K193" s="60">
        <f>K194</f>
        <v>520000</v>
      </c>
      <c r="L193" s="135"/>
      <c r="M193" s="60">
        <f>M194</f>
        <v>520000</v>
      </c>
      <c r="N193" s="135"/>
      <c r="O193" s="60">
        <f>O194</f>
        <v>20000</v>
      </c>
      <c r="P193" s="135"/>
      <c r="Q193" s="60">
        <f>Q194</f>
        <v>20000</v>
      </c>
    </row>
    <row r="194" spans="2:17" ht="48.75" customHeight="1">
      <c r="B194" s="30" t="s">
        <v>378</v>
      </c>
      <c r="C194" s="8"/>
      <c r="D194" s="46" t="s">
        <v>166</v>
      </c>
      <c r="E194" s="8" t="s">
        <v>413</v>
      </c>
      <c r="F194" s="8" t="s">
        <v>360</v>
      </c>
      <c r="G194" s="60">
        <v>0</v>
      </c>
      <c r="H194" s="40">
        <v>0</v>
      </c>
      <c r="I194" s="60">
        <v>520000</v>
      </c>
      <c r="J194" s="40">
        <v>0</v>
      </c>
      <c r="K194" s="60">
        <v>520000</v>
      </c>
      <c r="L194" s="135"/>
      <c r="M194" s="60">
        <v>520000</v>
      </c>
      <c r="N194" s="135">
        <v>-500000</v>
      </c>
      <c r="O194" s="60">
        <f>M194+N194</f>
        <v>20000</v>
      </c>
      <c r="P194" s="135"/>
      <c r="Q194" s="60">
        <f>O194+P194</f>
        <v>20000</v>
      </c>
    </row>
    <row r="195" spans="2:17" ht="79.5" customHeight="1">
      <c r="B195" s="30" t="s">
        <v>451</v>
      </c>
      <c r="C195" s="8"/>
      <c r="D195" s="46" t="s">
        <v>166</v>
      </c>
      <c r="E195" s="8" t="s">
        <v>414</v>
      </c>
      <c r="F195" s="8"/>
      <c r="G195" s="60">
        <f>G196</f>
        <v>0</v>
      </c>
      <c r="H195" s="3"/>
      <c r="I195" s="60">
        <f>I196</f>
        <v>200000</v>
      </c>
      <c r="J195" s="3"/>
      <c r="K195" s="60">
        <f>K196</f>
        <v>200000</v>
      </c>
      <c r="L195" s="133"/>
      <c r="M195" s="60">
        <f>M196</f>
        <v>200000</v>
      </c>
      <c r="N195" s="133"/>
      <c r="O195" s="60">
        <f>O196</f>
        <v>200000</v>
      </c>
      <c r="P195" s="133"/>
      <c r="Q195" s="60">
        <f>Q196</f>
        <v>200000</v>
      </c>
    </row>
    <row r="196" spans="2:17" ht="51" customHeight="1">
      <c r="B196" s="30" t="s">
        <v>378</v>
      </c>
      <c r="C196" s="8"/>
      <c r="D196" s="46" t="s">
        <v>166</v>
      </c>
      <c r="E196" s="8" t="s">
        <v>414</v>
      </c>
      <c r="F196" s="8" t="s">
        <v>360</v>
      </c>
      <c r="G196" s="60">
        <v>0</v>
      </c>
      <c r="H196" s="3"/>
      <c r="I196" s="60">
        <v>200000</v>
      </c>
      <c r="J196" s="3"/>
      <c r="K196" s="60">
        <v>200000</v>
      </c>
      <c r="L196" s="133"/>
      <c r="M196" s="60">
        <v>200000</v>
      </c>
      <c r="N196" s="133"/>
      <c r="O196" s="60">
        <v>200000</v>
      </c>
      <c r="P196" s="133"/>
      <c r="Q196" s="60">
        <v>200000</v>
      </c>
    </row>
    <row r="197" spans="2:17" ht="15.75">
      <c r="B197" s="30" t="s">
        <v>403</v>
      </c>
      <c r="C197" s="8"/>
      <c r="D197" s="46" t="s">
        <v>404</v>
      </c>
      <c r="E197" s="8"/>
      <c r="F197" s="8"/>
      <c r="G197" s="60" t="e">
        <f>G198+G208</f>
        <v>#REF!</v>
      </c>
      <c r="H197" s="3"/>
      <c r="I197" s="60">
        <f>I198+I208+I206</f>
        <v>12491600</v>
      </c>
      <c r="J197" s="3"/>
      <c r="K197" s="60">
        <f>K198+K208+K206</f>
        <v>12141600</v>
      </c>
      <c r="L197" s="133"/>
      <c r="M197" s="60">
        <f>M198+M208+M206+M213</f>
        <v>16605600</v>
      </c>
      <c r="N197" s="133"/>
      <c r="O197" s="60">
        <f>O198+O208+O206+O213</f>
        <v>15835600</v>
      </c>
      <c r="P197" s="133"/>
      <c r="Q197" s="60">
        <f>Q198+Q208+Q206+Q213</f>
        <v>15791991</v>
      </c>
    </row>
    <row r="198" spans="2:17" ht="15.75">
      <c r="B198" s="30" t="s">
        <v>406</v>
      </c>
      <c r="C198" s="8"/>
      <c r="D198" s="46" t="s">
        <v>404</v>
      </c>
      <c r="E198" s="8" t="s">
        <v>405</v>
      </c>
      <c r="F198" s="8"/>
      <c r="G198" s="60">
        <f>G199</f>
        <v>0</v>
      </c>
      <c r="H198" s="3"/>
      <c r="I198" s="60">
        <f>I199</f>
        <v>11776000</v>
      </c>
      <c r="J198" s="3"/>
      <c r="K198" s="60">
        <f>K199</f>
        <v>11426000</v>
      </c>
      <c r="L198" s="133"/>
      <c r="M198" s="60">
        <f>M199</f>
        <v>11426000</v>
      </c>
      <c r="N198" s="133"/>
      <c r="O198" s="60">
        <f>O199</f>
        <v>10656000</v>
      </c>
      <c r="P198" s="133"/>
      <c r="Q198" s="60">
        <f>Q199</f>
        <v>10588391</v>
      </c>
    </row>
    <row r="199" spans="2:17" ht="15.75">
      <c r="B199" s="30" t="s">
        <v>407</v>
      </c>
      <c r="C199" s="8"/>
      <c r="D199" s="46" t="s">
        <v>404</v>
      </c>
      <c r="E199" s="8" t="s">
        <v>408</v>
      </c>
      <c r="F199" s="8"/>
      <c r="G199" s="60">
        <f>G200+G202+G204</f>
        <v>0</v>
      </c>
      <c r="H199" s="3"/>
      <c r="I199" s="60">
        <f>I200+I202+I204</f>
        <v>11776000</v>
      </c>
      <c r="J199" s="3"/>
      <c r="K199" s="60">
        <f>K200+K202+K204</f>
        <v>11426000</v>
      </c>
      <c r="L199" s="133"/>
      <c r="M199" s="60">
        <f>M200+M202+M204</f>
        <v>11426000</v>
      </c>
      <c r="N199" s="133"/>
      <c r="O199" s="60">
        <f>O200+O202+O204</f>
        <v>10656000</v>
      </c>
      <c r="P199" s="133"/>
      <c r="Q199" s="60">
        <f>Q200+Q202+Q204</f>
        <v>10588391</v>
      </c>
    </row>
    <row r="200" spans="2:17" ht="31.5">
      <c r="B200" s="30" t="s">
        <v>412</v>
      </c>
      <c r="C200" s="8"/>
      <c r="D200" s="46" t="s">
        <v>404</v>
      </c>
      <c r="E200" s="8" t="s">
        <v>409</v>
      </c>
      <c r="F200" s="8"/>
      <c r="G200" s="60">
        <f>G201</f>
        <v>0</v>
      </c>
      <c r="H200" s="3"/>
      <c r="I200" s="60">
        <f>I201</f>
        <v>11776000</v>
      </c>
      <c r="J200" s="3"/>
      <c r="K200" s="60">
        <f>K201</f>
        <v>11426000</v>
      </c>
      <c r="L200" s="133"/>
      <c r="M200" s="60">
        <f>M201</f>
        <v>11426000</v>
      </c>
      <c r="N200" s="133"/>
      <c r="O200" s="60">
        <f>O201</f>
        <v>10656000</v>
      </c>
      <c r="P200" s="133"/>
      <c r="Q200" s="60">
        <f>Q201</f>
        <v>10588391</v>
      </c>
    </row>
    <row r="201" spans="2:17" ht="35.25" customHeight="1">
      <c r="B201" s="7" t="s">
        <v>382</v>
      </c>
      <c r="C201" s="8"/>
      <c r="D201" s="46" t="s">
        <v>404</v>
      </c>
      <c r="E201" s="8" t="s">
        <v>409</v>
      </c>
      <c r="F201" s="8" t="s">
        <v>328</v>
      </c>
      <c r="G201" s="60">
        <v>0</v>
      </c>
      <c r="H201" s="110">
        <v>11776000</v>
      </c>
      <c r="I201" s="60">
        <f>G201+H201</f>
        <v>11776000</v>
      </c>
      <c r="J201" s="110">
        <v>-350000</v>
      </c>
      <c r="K201" s="60">
        <f>I201+J201</f>
        <v>11426000</v>
      </c>
      <c r="L201" s="136"/>
      <c r="M201" s="60">
        <f>K201+L201</f>
        <v>11426000</v>
      </c>
      <c r="N201" s="136">
        <f>30000-800000</f>
        <v>-770000</v>
      </c>
      <c r="O201" s="60">
        <f>M201+N201</f>
        <v>10656000</v>
      </c>
      <c r="P201" s="134">
        <f>-24000+20000-63609</f>
        <v>-67609</v>
      </c>
      <c r="Q201" s="60">
        <f>O201+P201</f>
        <v>10588391</v>
      </c>
    </row>
    <row r="202" spans="2:17" ht="0.75" customHeight="1" hidden="1">
      <c r="B202" s="30" t="s">
        <v>415</v>
      </c>
      <c r="C202" s="8"/>
      <c r="D202" s="46" t="s">
        <v>404</v>
      </c>
      <c r="E202" s="8" t="s">
        <v>410</v>
      </c>
      <c r="F202" s="8"/>
      <c r="G202" s="60">
        <f>G203</f>
        <v>0</v>
      </c>
      <c r="H202" s="3"/>
      <c r="I202" s="60">
        <f>I203</f>
        <v>0</v>
      </c>
      <c r="J202" s="3"/>
      <c r="K202" s="60">
        <f>K203</f>
        <v>0</v>
      </c>
      <c r="L202" s="133"/>
      <c r="M202" s="60">
        <f>M203</f>
        <v>0</v>
      </c>
      <c r="N202" s="133"/>
      <c r="O202" s="60">
        <f>O203</f>
        <v>0</v>
      </c>
      <c r="P202" s="133"/>
      <c r="Q202" s="60">
        <f>Q203</f>
        <v>0</v>
      </c>
    </row>
    <row r="203" spans="2:17" ht="35.25" customHeight="1" hidden="1">
      <c r="B203" s="7" t="s">
        <v>382</v>
      </c>
      <c r="C203" s="8"/>
      <c r="D203" s="46" t="s">
        <v>404</v>
      </c>
      <c r="E203" s="8" t="s">
        <v>410</v>
      </c>
      <c r="F203" s="8" t="s">
        <v>328</v>
      </c>
      <c r="G203" s="60">
        <v>0</v>
      </c>
      <c r="H203" s="3">
        <v>0</v>
      </c>
      <c r="I203" s="60">
        <f>G203+H203</f>
        <v>0</v>
      </c>
      <c r="J203" s="3">
        <v>0</v>
      </c>
      <c r="K203" s="60">
        <f>I203+J203</f>
        <v>0</v>
      </c>
      <c r="L203" s="133"/>
      <c r="M203" s="60">
        <f>K203+L203</f>
        <v>0</v>
      </c>
      <c r="N203" s="133"/>
      <c r="O203" s="60">
        <f>M203+N203</f>
        <v>0</v>
      </c>
      <c r="P203" s="133"/>
      <c r="Q203" s="60">
        <f>O203+P203</f>
        <v>0</v>
      </c>
    </row>
    <row r="204" spans="2:17" ht="63" hidden="1">
      <c r="B204" s="30" t="s">
        <v>416</v>
      </c>
      <c r="C204" s="8"/>
      <c r="D204" s="46" t="s">
        <v>404</v>
      </c>
      <c r="E204" s="8" t="s">
        <v>411</v>
      </c>
      <c r="F204" s="8"/>
      <c r="G204" s="60">
        <f>G205</f>
        <v>0</v>
      </c>
      <c r="H204" s="3"/>
      <c r="I204" s="60">
        <f>I205</f>
        <v>0</v>
      </c>
      <c r="J204" s="3"/>
      <c r="K204" s="60">
        <f>K205</f>
        <v>0</v>
      </c>
      <c r="L204" s="133"/>
      <c r="M204" s="60">
        <f>M205</f>
        <v>0</v>
      </c>
      <c r="N204" s="133"/>
      <c r="O204" s="60">
        <f>O205</f>
        <v>0</v>
      </c>
      <c r="P204" s="133"/>
      <c r="Q204" s="60">
        <f>Q205</f>
        <v>0</v>
      </c>
    </row>
    <row r="205" spans="2:17" ht="31.5" hidden="1">
      <c r="B205" s="7" t="s">
        <v>382</v>
      </c>
      <c r="C205" s="8"/>
      <c r="D205" s="46" t="s">
        <v>404</v>
      </c>
      <c r="E205" s="8" t="s">
        <v>411</v>
      </c>
      <c r="F205" s="8" t="s">
        <v>328</v>
      </c>
      <c r="G205" s="60">
        <v>0</v>
      </c>
      <c r="H205" s="3"/>
      <c r="I205" s="60">
        <f>G205+H205</f>
        <v>0</v>
      </c>
      <c r="J205" s="3"/>
      <c r="K205" s="60">
        <f>I205+J205</f>
        <v>0</v>
      </c>
      <c r="L205" s="133"/>
      <c r="M205" s="60">
        <f>K205+L205</f>
        <v>0</v>
      </c>
      <c r="N205" s="133"/>
      <c r="O205" s="60">
        <f>M205+N205</f>
        <v>0</v>
      </c>
      <c r="P205" s="133"/>
      <c r="Q205" s="60">
        <f>O205+P205</f>
        <v>0</v>
      </c>
    </row>
    <row r="206" spans="2:17" ht="68.25" customHeight="1" hidden="1">
      <c r="B206" s="105" t="s">
        <v>459</v>
      </c>
      <c r="C206" s="97" t="s">
        <v>200</v>
      </c>
      <c r="D206" s="98" t="s">
        <v>404</v>
      </c>
      <c r="E206" s="97" t="s">
        <v>457</v>
      </c>
      <c r="F206" s="97"/>
      <c r="G206" s="60"/>
      <c r="H206" s="3"/>
      <c r="I206" s="60">
        <f>I207</f>
        <v>0</v>
      </c>
      <c r="J206" s="3"/>
      <c r="K206" s="60">
        <f>K207</f>
        <v>0</v>
      </c>
      <c r="L206" s="133"/>
      <c r="M206" s="60">
        <f>M207</f>
        <v>0</v>
      </c>
      <c r="N206" s="133"/>
      <c r="O206" s="60">
        <f>O207</f>
        <v>0</v>
      </c>
      <c r="P206" s="133"/>
      <c r="Q206" s="60">
        <f>Q207</f>
        <v>0</v>
      </c>
    </row>
    <row r="207" spans="2:17" ht="41.25" customHeight="1" hidden="1">
      <c r="B207" s="105" t="s">
        <v>382</v>
      </c>
      <c r="C207" s="97" t="s">
        <v>200</v>
      </c>
      <c r="D207" s="98" t="s">
        <v>404</v>
      </c>
      <c r="E207" s="97" t="s">
        <v>457</v>
      </c>
      <c r="F207" s="97" t="s">
        <v>328</v>
      </c>
      <c r="G207" s="60"/>
      <c r="H207" s="3">
        <v>0</v>
      </c>
      <c r="I207" s="60">
        <f>G207+H207</f>
        <v>0</v>
      </c>
      <c r="J207" s="3">
        <v>0</v>
      </c>
      <c r="K207" s="60">
        <f>I207+J207</f>
        <v>0</v>
      </c>
      <c r="L207" s="133"/>
      <c r="M207" s="60">
        <f>K207+L207</f>
        <v>0</v>
      </c>
      <c r="N207" s="133"/>
      <c r="O207" s="60">
        <f>M207+N207</f>
        <v>0</v>
      </c>
      <c r="P207" s="133"/>
      <c r="Q207" s="60">
        <f>O207+P207</f>
        <v>0</v>
      </c>
    </row>
    <row r="208" spans="2:17" ht="18" customHeight="1">
      <c r="B208" s="12" t="s">
        <v>313</v>
      </c>
      <c r="C208" s="97" t="s">
        <v>200</v>
      </c>
      <c r="D208" s="98" t="s">
        <v>404</v>
      </c>
      <c r="E208" s="97" t="s">
        <v>104</v>
      </c>
      <c r="F208" s="97"/>
      <c r="G208" s="79" t="e">
        <f>#REF!</f>
        <v>#REF!</v>
      </c>
      <c r="H208" s="97"/>
      <c r="I208" s="60">
        <f>I209+I211</f>
        <v>715600</v>
      </c>
      <c r="J208" s="97"/>
      <c r="K208" s="60">
        <f>K209+K211</f>
        <v>715600</v>
      </c>
      <c r="L208" s="151"/>
      <c r="M208" s="60">
        <f>M209+M211</f>
        <v>715600</v>
      </c>
      <c r="N208" s="151"/>
      <c r="O208" s="60">
        <f>O209+O211</f>
        <v>715600</v>
      </c>
      <c r="P208" s="151"/>
      <c r="Q208" s="60">
        <f>Q209+Q211</f>
        <v>739600</v>
      </c>
    </row>
    <row r="209" spans="2:17" ht="54.75" customHeight="1">
      <c r="B209" s="109" t="s">
        <v>444</v>
      </c>
      <c r="C209" s="103" t="s">
        <v>200</v>
      </c>
      <c r="D209" s="101" t="s">
        <v>404</v>
      </c>
      <c r="E209" s="103" t="s">
        <v>471</v>
      </c>
      <c r="F209" s="103"/>
      <c r="G209" s="79">
        <f>G210</f>
        <v>0</v>
      </c>
      <c r="H209" s="97"/>
      <c r="I209" s="60">
        <f>I210</f>
        <v>300000</v>
      </c>
      <c r="J209" s="97"/>
      <c r="K209" s="60">
        <f>K210</f>
        <v>300000</v>
      </c>
      <c r="L209" s="151"/>
      <c r="M209" s="60">
        <f>M210</f>
        <v>300000</v>
      </c>
      <c r="N209" s="151"/>
      <c r="O209" s="60">
        <f>O210</f>
        <v>300000</v>
      </c>
      <c r="P209" s="151"/>
      <c r="Q209" s="60">
        <f>Q210</f>
        <v>324000</v>
      </c>
    </row>
    <row r="210" spans="2:17" ht="34.5" customHeight="1">
      <c r="B210" s="105" t="s">
        <v>382</v>
      </c>
      <c r="C210" s="103" t="s">
        <v>200</v>
      </c>
      <c r="D210" s="101" t="s">
        <v>404</v>
      </c>
      <c r="E210" s="103" t="s">
        <v>471</v>
      </c>
      <c r="F210" s="103" t="s">
        <v>328</v>
      </c>
      <c r="G210" s="79">
        <v>0</v>
      </c>
      <c r="H210" s="97" t="s">
        <v>464</v>
      </c>
      <c r="I210" s="60">
        <f>G210+H210</f>
        <v>300000</v>
      </c>
      <c r="J210" s="97" t="s">
        <v>402</v>
      </c>
      <c r="K210" s="60">
        <f>I210+J210</f>
        <v>300000</v>
      </c>
      <c r="L210" s="151"/>
      <c r="M210" s="60">
        <f>K210+L210</f>
        <v>300000</v>
      </c>
      <c r="N210" s="151"/>
      <c r="O210" s="60">
        <f>M210+N210</f>
        <v>300000</v>
      </c>
      <c r="P210" s="151" t="s">
        <v>553</v>
      </c>
      <c r="Q210" s="60">
        <f>O210+P210</f>
        <v>324000</v>
      </c>
    </row>
    <row r="211" spans="2:17" ht="63.75" customHeight="1">
      <c r="B211" s="96" t="s">
        <v>564</v>
      </c>
      <c r="C211" s="103" t="s">
        <v>200</v>
      </c>
      <c r="D211" s="101" t="s">
        <v>404</v>
      </c>
      <c r="E211" s="103" t="s">
        <v>291</v>
      </c>
      <c r="F211" s="103"/>
      <c r="G211" s="79">
        <f>G212</f>
        <v>0</v>
      </c>
      <c r="H211" s="97"/>
      <c r="I211" s="60">
        <f>I212</f>
        <v>415600</v>
      </c>
      <c r="J211" s="97"/>
      <c r="K211" s="60">
        <f>K212</f>
        <v>415600</v>
      </c>
      <c r="L211" s="151"/>
      <c r="M211" s="60">
        <f>M212</f>
        <v>415600</v>
      </c>
      <c r="N211" s="151"/>
      <c r="O211" s="60">
        <f>O212</f>
        <v>415600</v>
      </c>
      <c r="P211" s="151"/>
      <c r="Q211" s="60">
        <f>Q212</f>
        <v>415600</v>
      </c>
    </row>
    <row r="212" spans="2:17" ht="34.5" customHeight="1">
      <c r="B212" s="105" t="s">
        <v>382</v>
      </c>
      <c r="C212" s="103" t="s">
        <v>200</v>
      </c>
      <c r="D212" s="101" t="s">
        <v>404</v>
      </c>
      <c r="E212" s="103" t="s">
        <v>291</v>
      </c>
      <c r="F212" s="103" t="s">
        <v>328</v>
      </c>
      <c r="G212" s="79">
        <v>0</v>
      </c>
      <c r="H212" s="97" t="s">
        <v>465</v>
      </c>
      <c r="I212" s="60">
        <f>G212+H212</f>
        <v>415600</v>
      </c>
      <c r="J212" s="97" t="s">
        <v>402</v>
      </c>
      <c r="K212" s="60">
        <f>I212+J212</f>
        <v>415600</v>
      </c>
      <c r="L212" s="151"/>
      <c r="M212" s="60">
        <f>K212+L212</f>
        <v>415600</v>
      </c>
      <c r="N212" s="151"/>
      <c r="O212" s="60">
        <f>M212+N212</f>
        <v>415600</v>
      </c>
      <c r="P212" s="151"/>
      <c r="Q212" s="60">
        <f>O212+P212</f>
        <v>415600</v>
      </c>
    </row>
    <row r="213" spans="2:17" ht="31.5">
      <c r="B213" s="107" t="s">
        <v>565</v>
      </c>
      <c r="C213" s="97"/>
      <c r="D213" s="98" t="s">
        <v>404</v>
      </c>
      <c r="E213" s="97" t="s">
        <v>513</v>
      </c>
      <c r="F213" s="97"/>
      <c r="G213" s="79"/>
      <c r="H213" s="97"/>
      <c r="I213" s="60"/>
      <c r="J213" s="97"/>
      <c r="K213" s="60"/>
      <c r="L213" s="151"/>
      <c r="M213" s="60">
        <f>M214</f>
        <v>4464000</v>
      </c>
      <c r="N213" s="151"/>
      <c r="O213" s="60">
        <f>O214</f>
        <v>4464000</v>
      </c>
      <c r="P213" s="151"/>
      <c r="Q213" s="60">
        <f>Q214</f>
        <v>4464000</v>
      </c>
    </row>
    <row r="214" spans="2:17" ht="51.75" customHeight="1">
      <c r="B214" s="107" t="s">
        <v>400</v>
      </c>
      <c r="C214" s="97"/>
      <c r="D214" s="98" t="s">
        <v>404</v>
      </c>
      <c r="E214" s="97" t="s">
        <v>401</v>
      </c>
      <c r="F214" s="97"/>
      <c r="G214" s="79"/>
      <c r="H214" s="97"/>
      <c r="I214" s="60"/>
      <c r="J214" s="97"/>
      <c r="K214" s="60"/>
      <c r="L214" s="151"/>
      <c r="M214" s="60">
        <f>M215</f>
        <v>4464000</v>
      </c>
      <c r="N214" s="151"/>
      <c r="O214" s="60">
        <f>O215</f>
        <v>4464000</v>
      </c>
      <c r="P214" s="151"/>
      <c r="Q214" s="60">
        <f>Q215</f>
        <v>4464000</v>
      </c>
    </row>
    <row r="215" spans="2:17" ht="52.5" customHeight="1">
      <c r="B215" s="96" t="s">
        <v>511</v>
      </c>
      <c r="C215" s="103"/>
      <c r="D215" s="101" t="s">
        <v>404</v>
      </c>
      <c r="E215" s="103" t="s">
        <v>512</v>
      </c>
      <c r="F215" s="103"/>
      <c r="G215" s="79"/>
      <c r="H215" s="97"/>
      <c r="I215" s="60"/>
      <c r="J215" s="97"/>
      <c r="K215" s="60"/>
      <c r="L215" s="151"/>
      <c r="M215" s="60">
        <f>M216</f>
        <v>4464000</v>
      </c>
      <c r="N215" s="151"/>
      <c r="O215" s="60">
        <f>O216</f>
        <v>4464000</v>
      </c>
      <c r="P215" s="151"/>
      <c r="Q215" s="60">
        <f>Q216</f>
        <v>4464000</v>
      </c>
    </row>
    <row r="216" spans="2:17" ht="34.5" customHeight="1">
      <c r="B216" s="105" t="s">
        <v>382</v>
      </c>
      <c r="C216" s="103"/>
      <c r="D216" s="101" t="s">
        <v>404</v>
      </c>
      <c r="E216" s="103" t="s">
        <v>512</v>
      </c>
      <c r="F216" s="103" t="s">
        <v>328</v>
      </c>
      <c r="G216" s="79"/>
      <c r="H216" s="97"/>
      <c r="I216" s="60"/>
      <c r="J216" s="97"/>
      <c r="K216" s="60"/>
      <c r="L216" s="151" t="s">
        <v>514</v>
      </c>
      <c r="M216" s="60">
        <f>K216+L216</f>
        <v>4464000</v>
      </c>
      <c r="N216" s="151" t="s">
        <v>402</v>
      </c>
      <c r="O216" s="60">
        <f>M216+N216</f>
        <v>4464000</v>
      </c>
      <c r="P216" s="151"/>
      <c r="Q216" s="60">
        <f>O216+P216</f>
        <v>4464000</v>
      </c>
    </row>
    <row r="217" spans="2:17" ht="15.75">
      <c r="B217" s="7" t="s">
        <v>238</v>
      </c>
      <c r="C217" s="8"/>
      <c r="D217" s="46" t="s">
        <v>239</v>
      </c>
      <c r="E217" s="8"/>
      <c r="F217" s="8"/>
      <c r="G217" s="60" t="e">
        <f>#REF!+G218</f>
        <v>#REF!</v>
      </c>
      <c r="H217" s="3"/>
      <c r="I217" s="60" t="e">
        <f>#REF!+I218</f>
        <v>#REF!</v>
      </c>
      <c r="J217" s="3"/>
      <c r="K217" s="60">
        <f>K218</f>
        <v>46060</v>
      </c>
      <c r="L217" s="133"/>
      <c r="M217" s="60">
        <f>M218+M220</f>
        <v>202385.5</v>
      </c>
      <c r="N217" s="133"/>
      <c r="O217" s="60">
        <f>O218+O220</f>
        <v>206082.3</v>
      </c>
      <c r="P217" s="133"/>
      <c r="Q217" s="60">
        <f>Q218+Q220</f>
        <v>206082.3</v>
      </c>
    </row>
    <row r="218" spans="2:17" ht="33" customHeight="1">
      <c r="B218" s="31" t="s">
        <v>312</v>
      </c>
      <c r="C218" s="8" t="s">
        <v>200</v>
      </c>
      <c r="D218" s="8" t="s">
        <v>239</v>
      </c>
      <c r="E218" s="8" t="s">
        <v>262</v>
      </c>
      <c r="F218" s="8"/>
      <c r="G218" s="71">
        <f>G219</f>
        <v>0</v>
      </c>
      <c r="H218" s="52"/>
      <c r="I218" s="71">
        <f>I219</f>
        <v>46060</v>
      </c>
      <c r="J218" s="52"/>
      <c r="K218" s="71">
        <f>K219</f>
        <v>46060</v>
      </c>
      <c r="L218" s="138"/>
      <c r="M218" s="71">
        <f>M219</f>
        <v>82627.5</v>
      </c>
      <c r="N218" s="138"/>
      <c r="O218" s="71">
        <f>O219</f>
        <v>86324.3</v>
      </c>
      <c r="P218" s="138"/>
      <c r="Q218" s="71">
        <f>Q219</f>
        <v>86324.3</v>
      </c>
    </row>
    <row r="219" spans="2:17" ht="47.25">
      <c r="B219" s="31" t="s">
        <v>322</v>
      </c>
      <c r="C219" s="8" t="s">
        <v>200</v>
      </c>
      <c r="D219" s="8" t="s">
        <v>239</v>
      </c>
      <c r="E219" s="8" t="s">
        <v>262</v>
      </c>
      <c r="F219" s="8" t="s">
        <v>327</v>
      </c>
      <c r="G219" s="70">
        <v>0</v>
      </c>
      <c r="H219" s="123">
        <v>0</v>
      </c>
      <c r="I219" s="70">
        <v>46060</v>
      </c>
      <c r="J219" s="123">
        <v>0</v>
      </c>
      <c r="K219" s="70">
        <v>46060</v>
      </c>
      <c r="L219" s="139">
        <v>36567.5</v>
      </c>
      <c r="M219" s="70">
        <f>K219+L219</f>
        <v>82627.5</v>
      </c>
      <c r="N219" s="139">
        <v>3696.8</v>
      </c>
      <c r="O219" s="70">
        <f>M219+N219</f>
        <v>86324.3</v>
      </c>
      <c r="P219" s="139"/>
      <c r="Q219" s="70">
        <f>O219+P219</f>
        <v>86324.3</v>
      </c>
    </row>
    <row r="220" spans="2:17" ht="33.75" customHeight="1">
      <c r="B220" s="31" t="s">
        <v>527</v>
      </c>
      <c r="C220" s="8"/>
      <c r="D220" s="8" t="s">
        <v>239</v>
      </c>
      <c r="E220" s="8" t="s">
        <v>298</v>
      </c>
      <c r="F220" s="8"/>
      <c r="G220" s="70"/>
      <c r="H220" s="123"/>
      <c r="I220" s="70"/>
      <c r="J220" s="123"/>
      <c r="K220" s="70"/>
      <c r="L220" s="139"/>
      <c r="M220" s="70">
        <f>M221</f>
        <v>119758</v>
      </c>
      <c r="N220" s="139"/>
      <c r="O220" s="70">
        <f>O221</f>
        <v>119758</v>
      </c>
      <c r="P220" s="139"/>
      <c r="Q220" s="70">
        <f>Q221</f>
        <v>119758</v>
      </c>
    </row>
    <row r="221" spans="2:17" ht="47.25">
      <c r="B221" s="31" t="s">
        <v>322</v>
      </c>
      <c r="C221" s="8"/>
      <c r="D221" s="8" t="s">
        <v>239</v>
      </c>
      <c r="E221" s="8" t="s">
        <v>298</v>
      </c>
      <c r="F221" s="8" t="s">
        <v>327</v>
      </c>
      <c r="G221" s="70"/>
      <c r="H221" s="123"/>
      <c r="I221" s="70"/>
      <c r="J221" s="123"/>
      <c r="K221" s="70"/>
      <c r="L221" s="139">
        <v>119758</v>
      </c>
      <c r="M221" s="70">
        <f>K221+L221</f>
        <v>119758</v>
      </c>
      <c r="N221" s="139">
        <v>0</v>
      </c>
      <c r="O221" s="70">
        <f>M221+N221</f>
        <v>119758</v>
      </c>
      <c r="P221" s="139"/>
      <c r="Q221" s="70">
        <f>O221+P221</f>
        <v>119758</v>
      </c>
    </row>
    <row r="222" spans="2:17" ht="32.25" customHeight="1">
      <c r="B222" s="30" t="s">
        <v>39</v>
      </c>
      <c r="C222" s="8"/>
      <c r="D222" s="46" t="s">
        <v>40</v>
      </c>
      <c r="E222" s="8"/>
      <c r="F222" s="8"/>
      <c r="G222" s="60" t="e">
        <f>#REF!+G223+G228</f>
        <v>#REF!</v>
      </c>
      <c r="H222" s="3"/>
      <c r="I222" s="60" t="e">
        <f>#REF!+I223+I228</f>
        <v>#REF!</v>
      </c>
      <c r="J222" s="3"/>
      <c r="K222" s="60">
        <f>K223+K228</f>
        <v>4491000</v>
      </c>
      <c r="L222" s="133"/>
      <c r="M222" s="60">
        <f>M223+M228+M235</f>
        <v>11936500</v>
      </c>
      <c r="N222" s="133"/>
      <c r="O222" s="60">
        <f>O223+O228+O235</f>
        <v>11806500</v>
      </c>
      <c r="P222" s="133"/>
      <c r="Q222" s="60">
        <f>Q223+Q228+Q235</f>
        <v>9794833.33</v>
      </c>
    </row>
    <row r="223" spans="2:17" ht="31.5">
      <c r="B223" s="31" t="s">
        <v>188</v>
      </c>
      <c r="C223" s="8"/>
      <c r="D223" s="46" t="s">
        <v>40</v>
      </c>
      <c r="E223" s="8" t="s">
        <v>189</v>
      </c>
      <c r="F223" s="8"/>
      <c r="G223" s="60">
        <f>G224+G226</f>
        <v>0</v>
      </c>
      <c r="H223" s="3"/>
      <c r="I223" s="60">
        <f>I224+I226</f>
        <v>100000</v>
      </c>
      <c r="J223" s="3"/>
      <c r="K223" s="60">
        <f>K224+K226</f>
        <v>100000</v>
      </c>
      <c r="L223" s="133"/>
      <c r="M223" s="60">
        <f>M224+M226</f>
        <v>100000</v>
      </c>
      <c r="N223" s="133"/>
      <c r="O223" s="60">
        <f>O224+O226</f>
        <v>100000</v>
      </c>
      <c r="P223" s="133"/>
      <c r="Q223" s="60">
        <f>Q224+Q226</f>
        <v>100000</v>
      </c>
    </row>
    <row r="224" spans="2:17" ht="31.5">
      <c r="B224" s="31" t="s">
        <v>418</v>
      </c>
      <c r="C224" s="8"/>
      <c r="D224" s="46" t="s">
        <v>40</v>
      </c>
      <c r="E224" s="8" t="s">
        <v>419</v>
      </c>
      <c r="F224" s="8"/>
      <c r="G224" s="60">
        <f>G225</f>
        <v>0</v>
      </c>
      <c r="H224" s="3"/>
      <c r="I224" s="60">
        <f>I225</f>
        <v>100000</v>
      </c>
      <c r="J224" s="3"/>
      <c r="K224" s="60">
        <f>K225</f>
        <v>100000</v>
      </c>
      <c r="L224" s="133"/>
      <c r="M224" s="60">
        <f>M225</f>
        <v>100000</v>
      </c>
      <c r="N224" s="133"/>
      <c r="O224" s="60">
        <f>O225</f>
        <v>100000</v>
      </c>
      <c r="P224" s="133"/>
      <c r="Q224" s="60">
        <f>Q225</f>
        <v>100000</v>
      </c>
    </row>
    <row r="225" spans="2:17" ht="50.25" customHeight="1">
      <c r="B225" s="16" t="s">
        <v>378</v>
      </c>
      <c r="C225" s="46"/>
      <c r="D225" s="46" t="s">
        <v>40</v>
      </c>
      <c r="E225" s="46" t="s">
        <v>419</v>
      </c>
      <c r="F225" s="46" t="s">
        <v>360</v>
      </c>
      <c r="G225" s="60">
        <v>0</v>
      </c>
      <c r="H225" s="3">
        <v>100000</v>
      </c>
      <c r="I225" s="60">
        <f>G225+H225</f>
        <v>100000</v>
      </c>
      <c r="J225" s="3">
        <v>0</v>
      </c>
      <c r="K225" s="60">
        <f>I225+J225</f>
        <v>100000</v>
      </c>
      <c r="L225" s="133"/>
      <c r="M225" s="60">
        <f>K225+L225</f>
        <v>100000</v>
      </c>
      <c r="N225" s="133"/>
      <c r="O225" s="60">
        <f>M225+N225</f>
        <v>100000</v>
      </c>
      <c r="P225" s="133"/>
      <c r="Q225" s="60">
        <f>O225+P225</f>
        <v>100000</v>
      </c>
    </row>
    <row r="226" spans="2:17" ht="0.75" customHeight="1" hidden="1">
      <c r="B226" s="31" t="s">
        <v>190</v>
      </c>
      <c r="C226" s="8"/>
      <c r="D226" s="46" t="s">
        <v>40</v>
      </c>
      <c r="E226" s="8" t="s">
        <v>191</v>
      </c>
      <c r="F226" s="8"/>
      <c r="G226" s="60">
        <f>G227</f>
        <v>0</v>
      </c>
      <c r="H226" s="3"/>
      <c r="I226" s="60">
        <f>I227</f>
        <v>0</v>
      </c>
      <c r="J226" s="3"/>
      <c r="K226" s="60">
        <f>K227</f>
        <v>0</v>
      </c>
      <c r="L226" s="133"/>
      <c r="M226" s="60">
        <f>M227</f>
        <v>0</v>
      </c>
      <c r="N226" s="133"/>
      <c r="O226" s="60">
        <f>O227</f>
        <v>0</v>
      </c>
      <c r="P226" s="133"/>
      <c r="Q226" s="60">
        <f>Q227</f>
        <v>0</v>
      </c>
    </row>
    <row r="227" spans="2:17" ht="33" customHeight="1" hidden="1">
      <c r="B227" s="7" t="s">
        <v>395</v>
      </c>
      <c r="C227" s="8"/>
      <c r="D227" s="46" t="s">
        <v>40</v>
      </c>
      <c r="E227" s="8" t="s">
        <v>191</v>
      </c>
      <c r="F227" s="8" t="s">
        <v>328</v>
      </c>
      <c r="G227" s="60">
        <v>0</v>
      </c>
      <c r="H227" s="40"/>
      <c r="I227" s="60">
        <f>G227+H227</f>
        <v>0</v>
      </c>
      <c r="J227" s="40"/>
      <c r="K227" s="60">
        <f>I227+J227</f>
        <v>0</v>
      </c>
      <c r="L227" s="135"/>
      <c r="M227" s="60">
        <f>K227+L227</f>
        <v>0</v>
      </c>
      <c r="N227" s="135"/>
      <c r="O227" s="60">
        <f>M227+N227</f>
        <v>0</v>
      </c>
      <c r="P227" s="135"/>
      <c r="Q227" s="60">
        <f>O227+P227</f>
        <v>0</v>
      </c>
    </row>
    <row r="228" spans="2:17" ht="19.5" customHeight="1">
      <c r="B228" s="12" t="s">
        <v>313</v>
      </c>
      <c r="C228" s="8"/>
      <c r="D228" s="46" t="s">
        <v>40</v>
      </c>
      <c r="E228" s="8" t="s">
        <v>104</v>
      </c>
      <c r="F228" s="8"/>
      <c r="G228" s="60">
        <f>G229+G231+G233</f>
        <v>0</v>
      </c>
      <c r="H228" s="3"/>
      <c r="I228" s="60">
        <f>I229+I231+I233</f>
        <v>4491000</v>
      </c>
      <c r="J228" s="3"/>
      <c r="K228" s="60">
        <f>K229+K231+K233</f>
        <v>4391000</v>
      </c>
      <c r="L228" s="133"/>
      <c r="M228" s="60">
        <f>M229+M231+M233</f>
        <v>4391000</v>
      </c>
      <c r="N228" s="133"/>
      <c r="O228" s="60">
        <f>O229+O231+O233</f>
        <v>4261000</v>
      </c>
      <c r="P228" s="133"/>
      <c r="Q228" s="60">
        <f>Q229+Q231+Q233</f>
        <v>2249333.33</v>
      </c>
    </row>
    <row r="229" spans="2:17" ht="47.25">
      <c r="B229" s="23" t="s">
        <v>434</v>
      </c>
      <c r="C229" s="44"/>
      <c r="D229" s="44" t="s">
        <v>40</v>
      </c>
      <c r="E229" s="44" t="s">
        <v>263</v>
      </c>
      <c r="F229" s="44"/>
      <c r="G229" s="60">
        <f>G230</f>
        <v>0</v>
      </c>
      <c r="H229" s="40"/>
      <c r="I229" s="60">
        <f>I230</f>
        <v>2493000</v>
      </c>
      <c r="J229" s="40"/>
      <c r="K229" s="60">
        <f>K230</f>
        <v>2493000</v>
      </c>
      <c r="L229" s="135"/>
      <c r="M229" s="60">
        <f>M230</f>
        <v>2493000</v>
      </c>
      <c r="N229" s="135"/>
      <c r="O229" s="60">
        <f>O230</f>
        <v>2493000</v>
      </c>
      <c r="P229" s="135"/>
      <c r="Q229" s="60">
        <f>Q230</f>
        <v>481333.3300000001</v>
      </c>
    </row>
    <row r="230" spans="2:17" ht="31.5">
      <c r="B230" s="7" t="s">
        <v>395</v>
      </c>
      <c r="C230" s="44"/>
      <c r="D230" s="44" t="s">
        <v>40</v>
      </c>
      <c r="E230" s="44" t="s">
        <v>263</v>
      </c>
      <c r="F230" s="44" t="s">
        <v>328</v>
      </c>
      <c r="G230" s="60">
        <v>0</v>
      </c>
      <c r="H230" s="40"/>
      <c r="I230" s="60">
        <v>2493000</v>
      </c>
      <c r="J230" s="40"/>
      <c r="K230" s="60">
        <v>2493000</v>
      </c>
      <c r="L230" s="135"/>
      <c r="M230" s="60">
        <v>2493000</v>
      </c>
      <c r="N230" s="135"/>
      <c r="O230" s="60">
        <v>2493000</v>
      </c>
      <c r="P230" s="135">
        <v>-2011666.67</v>
      </c>
      <c r="Q230" s="60">
        <f>O230+P230</f>
        <v>481333.3300000001</v>
      </c>
    </row>
    <row r="231" spans="2:17" ht="63">
      <c r="B231" s="23" t="s">
        <v>484</v>
      </c>
      <c r="C231" s="44"/>
      <c r="D231" s="44" t="s">
        <v>40</v>
      </c>
      <c r="E231" s="44" t="s">
        <v>264</v>
      </c>
      <c r="F231" s="44"/>
      <c r="G231" s="60">
        <f>G232</f>
        <v>0</v>
      </c>
      <c r="H231" s="40"/>
      <c r="I231" s="60">
        <f>I232</f>
        <v>1740000</v>
      </c>
      <c r="J231" s="40"/>
      <c r="K231" s="60">
        <f>K232</f>
        <v>1640000</v>
      </c>
      <c r="L231" s="135"/>
      <c r="M231" s="60">
        <f>M232</f>
        <v>1640000</v>
      </c>
      <c r="N231" s="135"/>
      <c r="O231" s="60">
        <f>O232</f>
        <v>1510000</v>
      </c>
      <c r="P231" s="135"/>
      <c r="Q231" s="60">
        <f>Q232</f>
        <v>1510000</v>
      </c>
    </row>
    <row r="232" spans="2:17" ht="31.5">
      <c r="B232" s="7" t="s">
        <v>382</v>
      </c>
      <c r="C232" s="6"/>
      <c r="D232" s="44" t="s">
        <v>40</v>
      </c>
      <c r="E232" s="6" t="s">
        <v>264</v>
      </c>
      <c r="F232" s="6" t="s">
        <v>328</v>
      </c>
      <c r="G232" s="60">
        <v>0</v>
      </c>
      <c r="H232" s="3">
        <v>1740000</v>
      </c>
      <c r="I232" s="60">
        <f>G232+H232</f>
        <v>1740000</v>
      </c>
      <c r="J232" s="3">
        <v>-100000</v>
      </c>
      <c r="K232" s="60">
        <f>I232+J232</f>
        <v>1640000</v>
      </c>
      <c r="L232" s="133"/>
      <c r="M232" s="60">
        <f>K232+L232</f>
        <v>1640000</v>
      </c>
      <c r="N232" s="133">
        <f>-100000-30000</f>
        <v>-130000</v>
      </c>
      <c r="O232" s="60">
        <f>M232+N232</f>
        <v>1510000</v>
      </c>
      <c r="P232" s="133"/>
      <c r="Q232" s="60">
        <f>O232+P232</f>
        <v>1510000</v>
      </c>
    </row>
    <row r="233" spans="2:17" ht="47.25">
      <c r="B233" s="12" t="s">
        <v>391</v>
      </c>
      <c r="C233" s="6"/>
      <c r="D233" s="44" t="s">
        <v>40</v>
      </c>
      <c r="E233" s="6" t="s">
        <v>296</v>
      </c>
      <c r="F233" s="6"/>
      <c r="G233" s="60">
        <f>G234</f>
        <v>0</v>
      </c>
      <c r="H233" s="3"/>
      <c r="I233" s="60">
        <f>I234</f>
        <v>258000</v>
      </c>
      <c r="J233" s="3"/>
      <c r="K233" s="60">
        <f>K234</f>
        <v>258000</v>
      </c>
      <c r="L233" s="133"/>
      <c r="M233" s="60">
        <f>M234</f>
        <v>258000</v>
      </c>
      <c r="N233" s="133"/>
      <c r="O233" s="60">
        <f>O234</f>
        <v>258000</v>
      </c>
      <c r="P233" s="133"/>
      <c r="Q233" s="60">
        <f>Q234</f>
        <v>258000</v>
      </c>
    </row>
    <row r="234" spans="2:17" ht="15.75">
      <c r="B234" s="30" t="s">
        <v>334</v>
      </c>
      <c r="C234" s="6"/>
      <c r="D234" s="44" t="s">
        <v>40</v>
      </c>
      <c r="E234" s="6" t="s">
        <v>296</v>
      </c>
      <c r="F234" s="6" t="s">
        <v>335</v>
      </c>
      <c r="G234" s="60">
        <v>0</v>
      </c>
      <c r="H234" s="3">
        <v>258000</v>
      </c>
      <c r="I234" s="60">
        <f>G234+H234</f>
        <v>258000</v>
      </c>
      <c r="J234" s="3">
        <v>0</v>
      </c>
      <c r="K234" s="60">
        <f>I234+J234</f>
        <v>258000</v>
      </c>
      <c r="L234" s="133"/>
      <c r="M234" s="60">
        <f>K234+L234</f>
        <v>258000</v>
      </c>
      <c r="N234" s="133"/>
      <c r="O234" s="60">
        <f>M234+N234</f>
        <v>258000</v>
      </c>
      <c r="P234" s="133"/>
      <c r="Q234" s="60">
        <f>O234+P234</f>
        <v>258000</v>
      </c>
    </row>
    <row r="235" spans="2:17" ht="30.75" customHeight="1">
      <c r="B235" s="30" t="s">
        <v>515</v>
      </c>
      <c r="C235" s="6"/>
      <c r="D235" s="44" t="s">
        <v>40</v>
      </c>
      <c r="E235" s="6" t="s">
        <v>504</v>
      </c>
      <c r="F235" s="6"/>
      <c r="G235" s="60"/>
      <c r="H235" s="3"/>
      <c r="I235" s="60"/>
      <c r="J235" s="3"/>
      <c r="K235" s="60"/>
      <c r="L235" s="133"/>
      <c r="M235" s="60">
        <f>M236</f>
        <v>7445500</v>
      </c>
      <c r="N235" s="133"/>
      <c r="O235" s="60">
        <f>O236</f>
        <v>7445500</v>
      </c>
      <c r="P235" s="133"/>
      <c r="Q235" s="60">
        <f>Q236</f>
        <v>7445500</v>
      </c>
    </row>
    <row r="236" spans="2:17" ht="66.75" customHeight="1">
      <c r="B236" s="32" t="s">
        <v>385</v>
      </c>
      <c r="C236" s="6"/>
      <c r="D236" s="44" t="s">
        <v>40</v>
      </c>
      <c r="E236" s="6" t="s">
        <v>319</v>
      </c>
      <c r="F236" s="6"/>
      <c r="G236" s="60"/>
      <c r="H236" s="3"/>
      <c r="I236" s="60"/>
      <c r="J236" s="3"/>
      <c r="K236" s="60"/>
      <c r="L236" s="133"/>
      <c r="M236" s="60">
        <f>M237</f>
        <v>7445500</v>
      </c>
      <c r="N236" s="133"/>
      <c r="O236" s="60">
        <f>O237</f>
        <v>7445500</v>
      </c>
      <c r="P236" s="133"/>
      <c r="Q236" s="60">
        <f>Q237</f>
        <v>7445500</v>
      </c>
    </row>
    <row r="237" spans="2:17" ht="47.25">
      <c r="B237" s="32" t="s">
        <v>516</v>
      </c>
      <c r="C237" s="6"/>
      <c r="D237" s="44" t="s">
        <v>40</v>
      </c>
      <c r="E237" s="6" t="s">
        <v>517</v>
      </c>
      <c r="F237" s="6"/>
      <c r="G237" s="60"/>
      <c r="H237" s="3"/>
      <c r="I237" s="60"/>
      <c r="J237" s="3"/>
      <c r="K237" s="60"/>
      <c r="L237" s="133"/>
      <c r="M237" s="60">
        <f>M238</f>
        <v>7445500</v>
      </c>
      <c r="N237" s="133"/>
      <c r="O237" s="60">
        <f>O238</f>
        <v>7445500</v>
      </c>
      <c r="P237" s="133"/>
      <c r="Q237" s="60">
        <f>Q238</f>
        <v>7445500</v>
      </c>
    </row>
    <row r="238" spans="2:17" ht="31.5">
      <c r="B238" s="7" t="s">
        <v>382</v>
      </c>
      <c r="C238" s="6"/>
      <c r="D238" s="44" t="s">
        <v>40</v>
      </c>
      <c r="E238" s="6" t="s">
        <v>517</v>
      </c>
      <c r="F238" s="6" t="s">
        <v>328</v>
      </c>
      <c r="G238" s="60"/>
      <c r="H238" s="3"/>
      <c r="I238" s="60"/>
      <c r="J238" s="3"/>
      <c r="K238" s="60"/>
      <c r="L238" s="133">
        <v>7445500</v>
      </c>
      <c r="M238" s="60">
        <f>K238+L238</f>
        <v>7445500</v>
      </c>
      <c r="N238" s="133">
        <v>0</v>
      </c>
      <c r="O238" s="60">
        <f>M238+N238</f>
        <v>7445500</v>
      </c>
      <c r="P238" s="133"/>
      <c r="Q238" s="60">
        <f>O238+P238</f>
        <v>7445500</v>
      </c>
    </row>
    <row r="239" spans="2:17" ht="19.5" customHeight="1">
      <c r="B239" s="75" t="s">
        <v>41</v>
      </c>
      <c r="C239" s="6" t="s">
        <v>42</v>
      </c>
      <c r="D239" s="47" t="s">
        <v>42</v>
      </c>
      <c r="E239" s="6"/>
      <c r="F239" s="6"/>
      <c r="G239" s="60" t="e">
        <f>SUM(G240+G254+G284+G304)</f>
        <v>#REF!</v>
      </c>
      <c r="H239" s="3"/>
      <c r="I239" s="60">
        <f>SUM(I240+I254+I284+I304)</f>
        <v>37568200</v>
      </c>
      <c r="J239" s="3"/>
      <c r="K239" s="60">
        <f>SUM(K240+K254+K284+K304)</f>
        <v>40518200</v>
      </c>
      <c r="L239" s="133"/>
      <c r="M239" s="60">
        <f>SUM(M240+M254+M284+M304)</f>
        <v>65366500</v>
      </c>
      <c r="N239" s="133"/>
      <c r="O239" s="60">
        <f>SUM(O240+O254+O284+O304)</f>
        <v>82613371.42</v>
      </c>
      <c r="P239" s="133"/>
      <c r="Q239" s="60">
        <f>SUM(Q240+Q254+Q284+Q304)</f>
        <v>78154512.09</v>
      </c>
    </row>
    <row r="240" spans="2:17" ht="18.75" customHeight="1">
      <c r="B240" s="17" t="s">
        <v>43</v>
      </c>
      <c r="C240" s="6"/>
      <c r="D240" s="44" t="s">
        <v>44</v>
      </c>
      <c r="E240" s="6"/>
      <c r="F240" s="6"/>
      <c r="G240" s="60" t="e">
        <f>SUM(G243+#REF!+#REF!+G252+G241+#REF!)</f>
        <v>#REF!</v>
      </c>
      <c r="H240" s="3"/>
      <c r="I240" s="60">
        <f>SUM(I243+I252+I241)</f>
        <v>6913600</v>
      </c>
      <c r="J240" s="3"/>
      <c r="K240" s="60">
        <f>SUM(K243+K252+K241)</f>
        <v>6913600</v>
      </c>
      <c r="L240" s="133"/>
      <c r="M240" s="60">
        <f>SUM(M243+M252+M241)</f>
        <v>6913600</v>
      </c>
      <c r="N240" s="133"/>
      <c r="O240" s="60">
        <f>SUM(O243+O252+O241)</f>
        <v>3913600</v>
      </c>
      <c r="P240" s="133"/>
      <c r="Q240" s="60">
        <f>SUM(Q243+Q252+Q241)</f>
        <v>3913600</v>
      </c>
    </row>
    <row r="241" spans="2:17" ht="35.25" customHeight="1" hidden="1">
      <c r="B241" s="11" t="s">
        <v>199</v>
      </c>
      <c r="C241" s="6" t="s">
        <v>200</v>
      </c>
      <c r="D241" s="6" t="s">
        <v>44</v>
      </c>
      <c r="E241" s="6" t="s">
        <v>202</v>
      </c>
      <c r="F241" s="6"/>
      <c r="G241" s="60">
        <f>G242</f>
        <v>0</v>
      </c>
      <c r="H241" s="3"/>
      <c r="I241" s="60">
        <f>I242</f>
        <v>0</v>
      </c>
      <c r="J241" s="3"/>
      <c r="K241" s="60">
        <f>K242</f>
        <v>0</v>
      </c>
      <c r="L241" s="133"/>
      <c r="M241" s="60">
        <f>M242</f>
        <v>0</v>
      </c>
      <c r="N241" s="133"/>
      <c r="O241" s="60">
        <f>O242</f>
        <v>0</v>
      </c>
      <c r="P241" s="133"/>
      <c r="Q241" s="60">
        <f>Q242</f>
        <v>0</v>
      </c>
    </row>
    <row r="242" spans="2:17" ht="22.5" customHeight="1" hidden="1">
      <c r="B242" s="32" t="s">
        <v>368</v>
      </c>
      <c r="C242" s="6" t="s">
        <v>200</v>
      </c>
      <c r="D242" s="6" t="s">
        <v>44</v>
      </c>
      <c r="E242" s="6" t="s">
        <v>202</v>
      </c>
      <c r="F242" s="6" t="s">
        <v>367</v>
      </c>
      <c r="G242" s="60">
        <v>0</v>
      </c>
      <c r="H242" s="110">
        <v>0</v>
      </c>
      <c r="I242" s="60">
        <f>G242+H242</f>
        <v>0</v>
      </c>
      <c r="J242" s="110">
        <v>0</v>
      </c>
      <c r="K242" s="60">
        <f>I242+J242</f>
        <v>0</v>
      </c>
      <c r="L242" s="136"/>
      <c r="M242" s="60">
        <f>K242+L242</f>
        <v>0</v>
      </c>
      <c r="N242" s="136"/>
      <c r="O242" s="60">
        <f>M242+N242</f>
        <v>0</v>
      </c>
      <c r="P242" s="136"/>
      <c r="Q242" s="60">
        <f>O242+P242</f>
        <v>0</v>
      </c>
    </row>
    <row r="243" spans="2:17" ht="15.75">
      <c r="B243" s="12" t="s">
        <v>45</v>
      </c>
      <c r="C243" s="6"/>
      <c r="D243" s="44" t="s">
        <v>44</v>
      </c>
      <c r="E243" s="6" t="s">
        <v>46</v>
      </c>
      <c r="F243" s="6"/>
      <c r="G243" s="60">
        <f>SUM(G244+G246)</f>
        <v>0</v>
      </c>
      <c r="H243" s="3"/>
      <c r="I243" s="60">
        <f>SUM(I244+I246)</f>
        <v>6913600</v>
      </c>
      <c r="J243" s="3"/>
      <c r="K243" s="60">
        <f>SUM(K244+K246)</f>
        <v>6913600</v>
      </c>
      <c r="L243" s="133"/>
      <c r="M243" s="60">
        <f>SUM(M244+M246)</f>
        <v>6913600</v>
      </c>
      <c r="N243" s="133"/>
      <c r="O243" s="60">
        <f>SUM(O244+O246)</f>
        <v>3913600</v>
      </c>
      <c r="P243" s="133"/>
      <c r="Q243" s="60">
        <f>SUM(Q244+Q246)</f>
        <v>3913600</v>
      </c>
    </row>
    <row r="244" spans="2:17" ht="36" customHeight="1">
      <c r="B244" s="12" t="s">
        <v>273</v>
      </c>
      <c r="C244" s="6"/>
      <c r="D244" s="44" t="s">
        <v>44</v>
      </c>
      <c r="E244" s="6" t="s">
        <v>47</v>
      </c>
      <c r="F244" s="6"/>
      <c r="G244" s="60">
        <f>G245</f>
        <v>0</v>
      </c>
      <c r="H244" s="3"/>
      <c r="I244" s="60">
        <f>I245</f>
        <v>853000</v>
      </c>
      <c r="J244" s="3"/>
      <c r="K244" s="60">
        <f>K245</f>
        <v>853000</v>
      </c>
      <c r="L244" s="133"/>
      <c r="M244" s="60">
        <f>M245</f>
        <v>853000</v>
      </c>
      <c r="N244" s="133"/>
      <c r="O244" s="60">
        <f>O245</f>
        <v>853000</v>
      </c>
      <c r="P244" s="133"/>
      <c r="Q244" s="60">
        <f>Q245</f>
        <v>853000</v>
      </c>
    </row>
    <row r="245" spans="2:17" ht="47.25">
      <c r="B245" s="31" t="s">
        <v>376</v>
      </c>
      <c r="C245" s="6"/>
      <c r="D245" s="44" t="s">
        <v>44</v>
      </c>
      <c r="E245" s="6" t="s">
        <v>47</v>
      </c>
      <c r="F245" s="6" t="s">
        <v>331</v>
      </c>
      <c r="G245" s="60">
        <v>0</v>
      </c>
      <c r="H245" s="3">
        <v>853000</v>
      </c>
      <c r="I245" s="60">
        <f>G245+H245</f>
        <v>853000</v>
      </c>
      <c r="J245" s="3">
        <v>0</v>
      </c>
      <c r="K245" s="60">
        <f>I245+J245</f>
        <v>853000</v>
      </c>
      <c r="L245" s="133"/>
      <c r="M245" s="60">
        <f>K245+L245</f>
        <v>853000</v>
      </c>
      <c r="N245" s="133"/>
      <c r="O245" s="60">
        <f>M245+N245</f>
        <v>853000</v>
      </c>
      <c r="P245" s="133"/>
      <c r="Q245" s="60">
        <f>O245+P245</f>
        <v>853000</v>
      </c>
    </row>
    <row r="246" spans="2:17" ht="21" customHeight="1">
      <c r="B246" s="12" t="s">
        <v>48</v>
      </c>
      <c r="C246" s="6"/>
      <c r="D246" s="44" t="s">
        <v>44</v>
      </c>
      <c r="E246" s="6" t="s">
        <v>49</v>
      </c>
      <c r="F246" s="6"/>
      <c r="G246" s="60">
        <f>G247+G249+G250</f>
        <v>0</v>
      </c>
      <c r="H246" s="3"/>
      <c r="I246" s="60">
        <f>I247+I249+I250</f>
        <v>6060600</v>
      </c>
      <c r="J246" s="3"/>
      <c r="K246" s="60">
        <f>K247+K249+K250</f>
        <v>6060600</v>
      </c>
      <c r="L246" s="133"/>
      <c r="M246" s="60">
        <f>M247+M249+M250</f>
        <v>6060600</v>
      </c>
      <c r="N246" s="133"/>
      <c r="O246" s="60">
        <f>O247+O249+O250</f>
        <v>3060600</v>
      </c>
      <c r="P246" s="133"/>
      <c r="Q246" s="60">
        <f>Q247+Q249+Q250</f>
        <v>3060600</v>
      </c>
    </row>
    <row r="247" spans="2:17" ht="0.75" customHeight="1" hidden="1">
      <c r="B247" s="12" t="s">
        <v>50</v>
      </c>
      <c r="C247" s="6"/>
      <c r="D247" s="44" t="s">
        <v>44</v>
      </c>
      <c r="E247" s="6" t="s">
        <v>51</v>
      </c>
      <c r="F247" s="6"/>
      <c r="G247" s="60">
        <f>G248</f>
        <v>0</v>
      </c>
      <c r="H247" s="3"/>
      <c r="I247" s="60">
        <f>I248</f>
        <v>0</v>
      </c>
      <c r="J247" s="3"/>
      <c r="K247" s="60">
        <f>K248</f>
        <v>0</v>
      </c>
      <c r="L247" s="133"/>
      <c r="M247" s="60">
        <f>M248</f>
        <v>0</v>
      </c>
      <c r="N247" s="133"/>
      <c r="O247" s="60">
        <f>O248</f>
        <v>0</v>
      </c>
      <c r="P247" s="133"/>
      <c r="Q247" s="60">
        <f>Q248</f>
        <v>0</v>
      </c>
    </row>
    <row r="248" spans="2:17" ht="17.25" customHeight="1" hidden="1">
      <c r="B248" s="12" t="s">
        <v>35</v>
      </c>
      <c r="C248" s="6"/>
      <c r="D248" s="44" t="s">
        <v>44</v>
      </c>
      <c r="E248" s="6" t="s">
        <v>51</v>
      </c>
      <c r="F248" s="6" t="s">
        <v>36</v>
      </c>
      <c r="G248" s="60">
        <v>0</v>
      </c>
      <c r="H248" s="3"/>
      <c r="I248" s="60">
        <v>0</v>
      </c>
      <c r="J248" s="3"/>
      <c r="K248" s="60">
        <v>0</v>
      </c>
      <c r="L248" s="133"/>
      <c r="M248" s="60">
        <v>0</v>
      </c>
      <c r="N248" s="133"/>
      <c r="O248" s="60">
        <v>0</v>
      </c>
      <c r="P248" s="133"/>
      <c r="Q248" s="60">
        <v>0</v>
      </c>
    </row>
    <row r="249" spans="2:17" ht="18" customHeight="1" hidden="1">
      <c r="B249" s="12" t="s">
        <v>37</v>
      </c>
      <c r="C249" s="6"/>
      <c r="D249" s="44" t="s">
        <v>44</v>
      </c>
      <c r="E249" s="6" t="s">
        <v>49</v>
      </c>
      <c r="F249" s="6" t="s">
        <v>38</v>
      </c>
      <c r="G249" s="60">
        <v>0</v>
      </c>
      <c r="H249" s="3"/>
      <c r="I249" s="60">
        <f>G249+H249</f>
        <v>0</v>
      </c>
      <c r="J249" s="3"/>
      <c r="K249" s="60">
        <f>I249+J249</f>
        <v>0</v>
      </c>
      <c r="L249" s="133"/>
      <c r="M249" s="60">
        <f>K249+L249</f>
        <v>0</v>
      </c>
      <c r="N249" s="133"/>
      <c r="O249" s="60">
        <f>M249+N249</f>
        <v>0</v>
      </c>
      <c r="P249" s="133"/>
      <c r="Q249" s="60">
        <f>O249+P249</f>
        <v>0</v>
      </c>
    </row>
    <row r="250" spans="2:17" ht="31.5" customHeight="1">
      <c r="B250" s="16" t="s">
        <v>170</v>
      </c>
      <c r="C250" s="6"/>
      <c r="D250" s="44" t="s">
        <v>44</v>
      </c>
      <c r="E250" s="6" t="s">
        <v>196</v>
      </c>
      <c r="F250" s="6"/>
      <c r="G250" s="60">
        <f>G251</f>
        <v>0</v>
      </c>
      <c r="H250" s="3"/>
      <c r="I250" s="60">
        <f>I251</f>
        <v>6060600</v>
      </c>
      <c r="J250" s="3"/>
      <c r="K250" s="60">
        <f>K251</f>
        <v>6060600</v>
      </c>
      <c r="L250" s="133"/>
      <c r="M250" s="60">
        <f>M251</f>
        <v>6060600</v>
      </c>
      <c r="N250" s="133"/>
      <c r="O250" s="60">
        <f>O251</f>
        <v>3060600</v>
      </c>
      <c r="P250" s="133"/>
      <c r="Q250" s="60">
        <f>Q251</f>
        <v>3060600</v>
      </c>
    </row>
    <row r="251" spans="2:17" ht="18.75" customHeight="1">
      <c r="B251" s="12" t="s">
        <v>334</v>
      </c>
      <c r="C251" s="6"/>
      <c r="D251" s="44" t="s">
        <v>44</v>
      </c>
      <c r="E251" s="6" t="s">
        <v>196</v>
      </c>
      <c r="F251" s="6" t="s">
        <v>335</v>
      </c>
      <c r="G251" s="60">
        <v>0</v>
      </c>
      <c r="H251" s="3">
        <v>6060600</v>
      </c>
      <c r="I251" s="60">
        <f>G251+H251</f>
        <v>6060600</v>
      </c>
      <c r="J251" s="3">
        <v>0</v>
      </c>
      <c r="K251" s="60">
        <f>I251+J251</f>
        <v>6060600</v>
      </c>
      <c r="L251" s="133"/>
      <c r="M251" s="60">
        <f>K251+L251</f>
        <v>6060600</v>
      </c>
      <c r="N251" s="133">
        <v>-3000000</v>
      </c>
      <c r="O251" s="60">
        <f>M251+N251</f>
        <v>3060600</v>
      </c>
      <c r="P251" s="133"/>
      <c r="Q251" s="60">
        <f>O251+P251</f>
        <v>3060600</v>
      </c>
    </row>
    <row r="252" spans="2:17" ht="51.75" customHeight="1" hidden="1">
      <c r="B252" s="31" t="s">
        <v>302</v>
      </c>
      <c r="C252" s="8" t="s">
        <v>192</v>
      </c>
      <c r="D252" s="8" t="s">
        <v>44</v>
      </c>
      <c r="E252" s="8" t="s">
        <v>265</v>
      </c>
      <c r="F252" s="8"/>
      <c r="G252" s="71">
        <f>G253</f>
        <v>0</v>
      </c>
      <c r="H252" s="52"/>
      <c r="I252" s="71">
        <f>I253</f>
        <v>0</v>
      </c>
      <c r="J252" s="52"/>
      <c r="K252" s="71">
        <f>K253</f>
        <v>0</v>
      </c>
      <c r="L252" s="138"/>
      <c r="M252" s="71">
        <f>M253</f>
        <v>0</v>
      </c>
      <c r="N252" s="138"/>
      <c r="O252" s="71">
        <f>O253</f>
        <v>0</v>
      </c>
      <c r="P252" s="138"/>
      <c r="Q252" s="71">
        <f>Q253</f>
        <v>0</v>
      </c>
    </row>
    <row r="253" spans="2:17" ht="18.75" customHeight="1" hidden="1">
      <c r="B253" s="32" t="s">
        <v>368</v>
      </c>
      <c r="C253" s="8" t="s">
        <v>192</v>
      </c>
      <c r="D253" s="8" t="s">
        <v>44</v>
      </c>
      <c r="E253" s="8" t="s">
        <v>265</v>
      </c>
      <c r="F253" s="8" t="s">
        <v>367</v>
      </c>
      <c r="G253" s="71">
        <v>0</v>
      </c>
      <c r="H253" s="111">
        <v>0</v>
      </c>
      <c r="I253" s="71">
        <f>G253+H253</f>
        <v>0</v>
      </c>
      <c r="J253" s="111">
        <v>0</v>
      </c>
      <c r="K253" s="71">
        <f>I253+J253</f>
        <v>0</v>
      </c>
      <c r="L253" s="140"/>
      <c r="M253" s="71">
        <f>K253+L253</f>
        <v>0</v>
      </c>
      <c r="N253" s="140"/>
      <c r="O253" s="71">
        <f>M253+N253</f>
        <v>0</v>
      </c>
      <c r="P253" s="140"/>
      <c r="Q253" s="71">
        <f>O253+P253</f>
        <v>0</v>
      </c>
    </row>
    <row r="254" spans="2:17" ht="18" customHeight="1">
      <c r="B254" s="17" t="s">
        <v>55</v>
      </c>
      <c r="C254" s="6"/>
      <c r="D254" s="44" t="s">
        <v>56</v>
      </c>
      <c r="E254" s="6"/>
      <c r="F254" s="6"/>
      <c r="G254" s="60" t="e">
        <f>SUM(#REF!+#REF!+G262+G271+G269+G258+G255)</f>
        <v>#REF!</v>
      </c>
      <c r="H254" s="3"/>
      <c r="I254" s="60">
        <f>SUM(I262+I271+I269+I258+I255)</f>
        <v>15277700</v>
      </c>
      <c r="J254" s="3"/>
      <c r="K254" s="60">
        <f>SUM(K262+K271+K269+K258+K255)</f>
        <v>18277700</v>
      </c>
      <c r="L254" s="133"/>
      <c r="M254" s="60">
        <f>SUM(M262+M271+M269+M258+M255+M278)</f>
        <v>43156000</v>
      </c>
      <c r="N254" s="133"/>
      <c r="O254" s="60">
        <f>SUM(O262+O271+O268+O258+O255+O278)</f>
        <v>64534492.42</v>
      </c>
      <c r="P254" s="133"/>
      <c r="Q254" s="60">
        <f>SUM(Q260+Q262+Q271+Q268+Q258+Q255+Q278)</f>
        <v>60032024.09</v>
      </c>
    </row>
    <row r="255" spans="2:17" ht="15.75" hidden="1">
      <c r="B255" s="11" t="s">
        <v>212</v>
      </c>
      <c r="C255" s="6"/>
      <c r="D255" s="44" t="s">
        <v>56</v>
      </c>
      <c r="E255" s="6" t="s">
        <v>210</v>
      </c>
      <c r="F255" s="6"/>
      <c r="G255" s="60">
        <f>G256</f>
        <v>0</v>
      </c>
      <c r="H255" s="3"/>
      <c r="I255" s="60">
        <f>I256</f>
        <v>0</v>
      </c>
      <c r="J255" s="3"/>
      <c r="K255" s="60">
        <f>K256</f>
        <v>0</v>
      </c>
      <c r="L255" s="133"/>
      <c r="M255" s="60">
        <f>M256</f>
        <v>0</v>
      </c>
      <c r="N255" s="133"/>
      <c r="O255" s="60">
        <f>O256</f>
        <v>0</v>
      </c>
      <c r="P255" s="133"/>
      <c r="Q255" s="60">
        <f>Q256</f>
        <v>0</v>
      </c>
    </row>
    <row r="256" spans="2:17" ht="31.5" hidden="1">
      <c r="B256" s="11" t="s">
        <v>213</v>
      </c>
      <c r="C256" s="6"/>
      <c r="D256" s="44" t="s">
        <v>56</v>
      </c>
      <c r="E256" s="6" t="s">
        <v>211</v>
      </c>
      <c r="F256" s="6"/>
      <c r="G256" s="60">
        <f>G257</f>
        <v>0</v>
      </c>
      <c r="H256" s="3"/>
      <c r="I256" s="60">
        <f>I257</f>
        <v>0</v>
      </c>
      <c r="J256" s="3"/>
      <c r="K256" s="60">
        <f>K257</f>
        <v>0</v>
      </c>
      <c r="L256" s="133"/>
      <c r="M256" s="60">
        <f>M257</f>
        <v>0</v>
      </c>
      <c r="N256" s="133"/>
      <c r="O256" s="60">
        <f>O257</f>
        <v>0</v>
      </c>
      <c r="P256" s="133"/>
      <c r="Q256" s="60">
        <f>Q257</f>
        <v>0</v>
      </c>
    </row>
    <row r="257" spans="2:17" ht="15.75" customHeight="1" hidden="1">
      <c r="B257" s="23" t="s">
        <v>35</v>
      </c>
      <c r="C257" s="6"/>
      <c r="D257" s="44" t="s">
        <v>56</v>
      </c>
      <c r="E257" s="6" t="s">
        <v>211</v>
      </c>
      <c r="F257" s="6" t="s">
        <v>36</v>
      </c>
      <c r="G257" s="60">
        <v>0</v>
      </c>
      <c r="H257" s="3"/>
      <c r="I257" s="60">
        <f>G257+H257</f>
        <v>0</v>
      </c>
      <c r="J257" s="3"/>
      <c r="K257" s="60">
        <f>I257+J257</f>
        <v>0</v>
      </c>
      <c r="L257" s="133"/>
      <c r="M257" s="60">
        <f>K257+L257</f>
        <v>0</v>
      </c>
      <c r="N257" s="133"/>
      <c r="O257" s="60">
        <f>M257+N257</f>
        <v>0</v>
      </c>
      <c r="P257" s="133"/>
      <c r="Q257" s="60">
        <f>O257+P257</f>
        <v>0</v>
      </c>
    </row>
    <row r="258" spans="2:17" ht="17.25" customHeight="1" hidden="1">
      <c r="B258" s="76" t="s">
        <v>245</v>
      </c>
      <c r="C258" s="77" t="s">
        <v>200</v>
      </c>
      <c r="D258" s="77" t="s">
        <v>56</v>
      </c>
      <c r="E258" s="77" t="s">
        <v>246</v>
      </c>
      <c r="F258" s="77"/>
      <c r="G258" s="60">
        <f>G259</f>
        <v>0</v>
      </c>
      <c r="H258" s="52"/>
      <c r="I258" s="60">
        <f>I259</f>
        <v>0</v>
      </c>
      <c r="J258" s="52"/>
      <c r="K258" s="60">
        <f>K259</f>
        <v>0</v>
      </c>
      <c r="L258" s="138"/>
      <c r="M258" s="60">
        <f>M259</f>
        <v>0</v>
      </c>
      <c r="N258" s="138"/>
      <c r="O258" s="60">
        <f>O259</f>
        <v>0</v>
      </c>
      <c r="P258" s="138"/>
      <c r="Q258" s="60">
        <f>Q259</f>
        <v>0</v>
      </c>
    </row>
    <row r="259" spans="2:17" ht="15.75" customHeight="1" hidden="1">
      <c r="B259" s="78" t="s">
        <v>113</v>
      </c>
      <c r="C259" s="77" t="s">
        <v>200</v>
      </c>
      <c r="D259" s="77" t="s">
        <v>56</v>
      </c>
      <c r="E259" s="77" t="s">
        <v>246</v>
      </c>
      <c r="F259" s="77" t="s">
        <v>114</v>
      </c>
      <c r="G259" s="60"/>
      <c r="H259" s="52"/>
      <c r="I259" s="60"/>
      <c r="J259" s="52"/>
      <c r="K259" s="60"/>
      <c r="L259" s="138"/>
      <c r="M259" s="60"/>
      <c r="N259" s="138"/>
      <c r="O259" s="60"/>
      <c r="P259" s="138"/>
      <c r="Q259" s="60"/>
    </row>
    <row r="260" spans="2:17" s="168" customFormat="1" ht="47.25">
      <c r="B260" s="163" t="s">
        <v>558</v>
      </c>
      <c r="C260" s="8"/>
      <c r="D260" s="97" t="s">
        <v>56</v>
      </c>
      <c r="E260" s="97" t="s">
        <v>554</v>
      </c>
      <c r="F260" s="97"/>
      <c r="G260" s="172"/>
      <c r="H260" s="97"/>
      <c r="I260" s="172"/>
      <c r="J260" s="97"/>
      <c r="K260" s="172"/>
      <c r="L260" s="97"/>
      <c r="M260" s="172"/>
      <c r="N260" s="97"/>
      <c r="O260" s="172"/>
      <c r="P260" s="97"/>
      <c r="Q260" s="172">
        <f>Q261</f>
        <v>2800000</v>
      </c>
    </row>
    <row r="261" spans="2:17" s="168" customFormat="1" ht="49.5" customHeight="1">
      <c r="B261" s="100" t="s">
        <v>384</v>
      </c>
      <c r="C261" s="8"/>
      <c r="D261" s="97" t="s">
        <v>56</v>
      </c>
      <c r="E261" s="97" t="s">
        <v>554</v>
      </c>
      <c r="F261" s="97" t="s">
        <v>383</v>
      </c>
      <c r="G261" s="172"/>
      <c r="H261" s="97"/>
      <c r="I261" s="172"/>
      <c r="J261" s="97"/>
      <c r="K261" s="172"/>
      <c r="L261" s="97"/>
      <c r="M261" s="172"/>
      <c r="N261" s="97"/>
      <c r="O261" s="172"/>
      <c r="P261" s="97" t="s">
        <v>559</v>
      </c>
      <c r="Q261" s="172">
        <f>O261+P261</f>
        <v>2800000</v>
      </c>
    </row>
    <row r="262" spans="2:17" ht="30.75" customHeight="1">
      <c r="B262" s="12" t="s">
        <v>57</v>
      </c>
      <c r="C262" s="6"/>
      <c r="D262" s="44" t="s">
        <v>56</v>
      </c>
      <c r="E262" s="6" t="s">
        <v>58</v>
      </c>
      <c r="F262" s="6"/>
      <c r="G262" s="60">
        <f>G263+G266+G265+G264+G267</f>
        <v>0</v>
      </c>
      <c r="H262" s="3"/>
      <c r="I262" s="60">
        <f>I263+I266+I265+I264+I267</f>
        <v>0</v>
      </c>
      <c r="J262" s="3"/>
      <c r="K262" s="60">
        <f>K263+K266+K265+K264+K267</f>
        <v>0</v>
      </c>
      <c r="L262" s="133"/>
      <c r="M262" s="60">
        <f>M263+M266+M265+M264+M267</f>
        <v>250000</v>
      </c>
      <c r="N262" s="133"/>
      <c r="O262" s="60">
        <f>O263+O266+O265+O264+O267</f>
        <v>2750000</v>
      </c>
      <c r="P262" s="133"/>
      <c r="Q262" s="60">
        <f>Q263+Q266+Q265+Q264+Q267</f>
        <v>7261666.67</v>
      </c>
    </row>
    <row r="263" spans="2:17" ht="22.5" customHeight="1" hidden="1">
      <c r="B263" s="62" t="s">
        <v>389</v>
      </c>
      <c r="C263" s="6"/>
      <c r="D263" s="44" t="s">
        <v>56</v>
      </c>
      <c r="E263" s="6" t="s">
        <v>58</v>
      </c>
      <c r="F263" s="6" t="s">
        <v>358</v>
      </c>
      <c r="G263" s="60">
        <v>0</v>
      </c>
      <c r="H263" s="3"/>
      <c r="I263" s="60">
        <f>G263+H263</f>
        <v>0</v>
      </c>
      <c r="J263" s="3"/>
      <c r="K263" s="60">
        <f>I263+J263</f>
        <v>0</v>
      </c>
      <c r="L263" s="133"/>
      <c r="M263" s="60">
        <f>K263+L263</f>
        <v>0</v>
      </c>
      <c r="N263" s="133"/>
      <c r="O263" s="60">
        <f>M263+N263</f>
        <v>0</v>
      </c>
      <c r="P263" s="133"/>
      <c r="Q263" s="60">
        <f>O263+P263</f>
        <v>0</v>
      </c>
    </row>
    <row r="264" spans="2:17" ht="19.5" customHeight="1" hidden="1">
      <c r="B264" s="17" t="s">
        <v>53</v>
      </c>
      <c r="C264" s="6"/>
      <c r="D264" s="44" t="s">
        <v>56</v>
      </c>
      <c r="E264" s="6" t="s">
        <v>58</v>
      </c>
      <c r="F264" s="6" t="s">
        <v>54</v>
      </c>
      <c r="G264" s="60">
        <v>0</v>
      </c>
      <c r="H264" s="3"/>
      <c r="I264" s="60">
        <f>G264+H264</f>
        <v>0</v>
      </c>
      <c r="J264" s="3"/>
      <c r="K264" s="60">
        <f>I264+J264</f>
        <v>0</v>
      </c>
      <c r="L264" s="133"/>
      <c r="M264" s="60">
        <f>K264+L264</f>
        <v>0</v>
      </c>
      <c r="N264" s="133"/>
      <c r="O264" s="60">
        <f>M264+N264</f>
        <v>0</v>
      </c>
      <c r="P264" s="133"/>
      <c r="Q264" s="60">
        <f>O264+P264</f>
        <v>0</v>
      </c>
    </row>
    <row r="265" spans="2:17" ht="33" customHeight="1">
      <c r="B265" s="7" t="s">
        <v>382</v>
      </c>
      <c r="C265" s="6"/>
      <c r="D265" s="44" t="s">
        <v>56</v>
      </c>
      <c r="E265" s="6" t="s">
        <v>58</v>
      </c>
      <c r="F265" s="6" t="s">
        <v>328</v>
      </c>
      <c r="G265" s="60">
        <v>0</v>
      </c>
      <c r="H265" s="110">
        <v>0</v>
      </c>
      <c r="I265" s="60">
        <f>G265+H265</f>
        <v>0</v>
      </c>
      <c r="J265" s="110">
        <v>0</v>
      </c>
      <c r="K265" s="60">
        <f>I265+J265</f>
        <v>0</v>
      </c>
      <c r="L265" s="136">
        <v>250000</v>
      </c>
      <c r="M265" s="60">
        <f>K265+L265</f>
        <v>250000</v>
      </c>
      <c r="N265" s="136">
        <v>2500000</v>
      </c>
      <c r="O265" s="60">
        <f>M265+N265</f>
        <v>2750000</v>
      </c>
      <c r="P265" s="134">
        <v>2011666.67</v>
      </c>
      <c r="Q265" s="60">
        <f>O265+P265</f>
        <v>4761666.67</v>
      </c>
    </row>
    <row r="266" spans="2:17" ht="47.25">
      <c r="B266" s="31" t="s">
        <v>359</v>
      </c>
      <c r="C266" s="6"/>
      <c r="D266" s="44" t="s">
        <v>56</v>
      </c>
      <c r="E266" s="6" t="s">
        <v>58</v>
      </c>
      <c r="F266" s="6" t="s">
        <v>360</v>
      </c>
      <c r="G266" s="60">
        <v>0</v>
      </c>
      <c r="H266" s="3">
        <v>0</v>
      </c>
      <c r="I266" s="60">
        <f>G266+H266</f>
        <v>0</v>
      </c>
      <c r="J266" s="3">
        <v>0</v>
      </c>
      <c r="K266" s="60">
        <f>I266+J266</f>
        <v>0</v>
      </c>
      <c r="L266" s="133"/>
      <c r="M266" s="60">
        <f>K266+L266</f>
        <v>0</v>
      </c>
      <c r="N266" s="133"/>
      <c r="O266" s="60">
        <f>M266+N266</f>
        <v>0</v>
      </c>
      <c r="P266" s="133">
        <v>2500000</v>
      </c>
      <c r="Q266" s="60">
        <f>O266+P266</f>
        <v>2500000</v>
      </c>
    </row>
    <row r="267" spans="2:17" ht="0.75" customHeight="1" hidden="1">
      <c r="B267" s="31" t="s">
        <v>324</v>
      </c>
      <c r="C267" s="6"/>
      <c r="D267" s="101" t="s">
        <v>56</v>
      </c>
      <c r="E267" s="103" t="s">
        <v>58</v>
      </c>
      <c r="F267" s="103" t="s">
        <v>329</v>
      </c>
      <c r="G267" s="60">
        <v>0</v>
      </c>
      <c r="H267" s="3">
        <v>0</v>
      </c>
      <c r="I267" s="60">
        <f>G267+H267</f>
        <v>0</v>
      </c>
      <c r="J267" s="3">
        <v>0</v>
      </c>
      <c r="K267" s="60">
        <f>I267+J267</f>
        <v>0</v>
      </c>
      <c r="L267" s="133"/>
      <c r="M267" s="60">
        <f>K267+L267</f>
        <v>0</v>
      </c>
      <c r="N267" s="133"/>
      <c r="O267" s="60">
        <f>M267+N267</f>
        <v>0</v>
      </c>
      <c r="P267" s="133"/>
      <c r="Q267" s="60">
        <f>O267+P267</f>
        <v>0</v>
      </c>
    </row>
    <row r="268" spans="2:17" ht="15.75">
      <c r="B268" s="96" t="s">
        <v>519</v>
      </c>
      <c r="C268" s="6"/>
      <c r="D268" s="101" t="s">
        <v>56</v>
      </c>
      <c r="E268" s="103" t="s">
        <v>537</v>
      </c>
      <c r="F268" s="103"/>
      <c r="G268" s="60"/>
      <c r="H268" s="3"/>
      <c r="I268" s="60"/>
      <c r="J268" s="3"/>
      <c r="K268" s="60"/>
      <c r="L268" s="133"/>
      <c r="M268" s="60"/>
      <c r="N268" s="133"/>
      <c r="O268" s="60">
        <f>O269</f>
        <v>978492.42</v>
      </c>
      <c r="P268" s="133"/>
      <c r="Q268" s="60">
        <f>Q269</f>
        <v>978492.42</v>
      </c>
    </row>
    <row r="269" spans="2:17" ht="36.75" customHeight="1">
      <c r="B269" s="12" t="s">
        <v>392</v>
      </c>
      <c r="C269" s="6"/>
      <c r="D269" s="44" t="s">
        <v>56</v>
      </c>
      <c r="E269" s="6" t="s">
        <v>393</v>
      </c>
      <c r="F269" s="6"/>
      <c r="G269" s="60">
        <f>G270</f>
        <v>0</v>
      </c>
      <c r="H269" s="3"/>
      <c r="I269" s="60">
        <f>I270</f>
        <v>0</v>
      </c>
      <c r="J269" s="3"/>
      <c r="K269" s="60">
        <f>K270</f>
        <v>0</v>
      </c>
      <c r="L269" s="133"/>
      <c r="M269" s="60">
        <f>M270</f>
        <v>0</v>
      </c>
      <c r="N269" s="133"/>
      <c r="O269" s="60">
        <f>O270</f>
        <v>978492.42</v>
      </c>
      <c r="P269" s="133"/>
      <c r="Q269" s="60">
        <f>Q270</f>
        <v>978492.42</v>
      </c>
    </row>
    <row r="270" spans="2:17" ht="47.25">
      <c r="B270" s="100" t="s">
        <v>384</v>
      </c>
      <c r="C270" s="6"/>
      <c r="D270" s="44" t="s">
        <v>56</v>
      </c>
      <c r="E270" s="6" t="s">
        <v>393</v>
      </c>
      <c r="F270" s="6" t="s">
        <v>383</v>
      </c>
      <c r="G270" s="60">
        <v>0</v>
      </c>
      <c r="H270" s="3"/>
      <c r="I270" s="60">
        <f>G270+H270</f>
        <v>0</v>
      </c>
      <c r="J270" s="3"/>
      <c r="K270" s="60">
        <f>I270+J270</f>
        <v>0</v>
      </c>
      <c r="L270" s="133"/>
      <c r="M270" s="60">
        <f>K270+L270</f>
        <v>0</v>
      </c>
      <c r="N270" s="133">
        <v>978492.42</v>
      </c>
      <c r="O270" s="60">
        <f>M270+N270</f>
        <v>978492.42</v>
      </c>
      <c r="P270" s="133"/>
      <c r="Q270" s="60">
        <f>O270+P270</f>
        <v>978492.42</v>
      </c>
    </row>
    <row r="271" spans="2:17" ht="15.75">
      <c r="B271" s="12" t="s">
        <v>313</v>
      </c>
      <c r="C271" s="6"/>
      <c r="D271" s="44" t="s">
        <v>56</v>
      </c>
      <c r="E271" s="6" t="s">
        <v>104</v>
      </c>
      <c r="F271" s="6"/>
      <c r="G271" s="60">
        <f>G272+G274+G276</f>
        <v>0</v>
      </c>
      <c r="H271" s="3"/>
      <c r="I271" s="60">
        <f>I272+I274+I276</f>
        <v>15277700</v>
      </c>
      <c r="J271" s="3"/>
      <c r="K271" s="60">
        <f>K272+K274+K276</f>
        <v>18277700</v>
      </c>
      <c r="L271" s="133"/>
      <c r="M271" s="60">
        <f>M272+M274+M276</f>
        <v>18277700</v>
      </c>
      <c r="N271" s="133"/>
      <c r="O271" s="60">
        <f>O272+O274+O276</f>
        <v>36177700</v>
      </c>
      <c r="P271" s="133"/>
      <c r="Q271" s="60">
        <f>Q272+Q274+Q276</f>
        <v>24363565</v>
      </c>
    </row>
    <row r="272" spans="2:17" ht="80.25" customHeight="1" hidden="1">
      <c r="B272" s="96" t="s">
        <v>438</v>
      </c>
      <c r="C272" s="6"/>
      <c r="D272" s="101" t="s">
        <v>56</v>
      </c>
      <c r="E272" s="103" t="s">
        <v>291</v>
      </c>
      <c r="F272" s="6"/>
      <c r="G272" s="60">
        <f>G273</f>
        <v>0</v>
      </c>
      <c r="H272" s="3"/>
      <c r="I272" s="60">
        <f>I273</f>
        <v>0</v>
      </c>
      <c r="J272" s="3"/>
      <c r="K272" s="60">
        <f>K273</f>
        <v>0</v>
      </c>
      <c r="L272" s="133"/>
      <c r="M272" s="60">
        <f>M273</f>
        <v>0</v>
      </c>
      <c r="N272" s="133"/>
      <c r="O272" s="60">
        <f>O273</f>
        <v>0</v>
      </c>
      <c r="P272" s="133"/>
      <c r="Q272" s="60">
        <f>Q273</f>
        <v>0</v>
      </c>
    </row>
    <row r="273" spans="2:17" ht="33.75" customHeight="1" hidden="1">
      <c r="B273" s="7" t="s">
        <v>382</v>
      </c>
      <c r="C273" s="6"/>
      <c r="D273" s="44" t="s">
        <v>56</v>
      </c>
      <c r="E273" s="6" t="s">
        <v>291</v>
      </c>
      <c r="F273" s="6" t="s">
        <v>328</v>
      </c>
      <c r="G273" s="60">
        <v>0</v>
      </c>
      <c r="H273" s="3"/>
      <c r="I273" s="60">
        <f>G273+H273</f>
        <v>0</v>
      </c>
      <c r="J273" s="3"/>
      <c r="K273" s="60">
        <f>I273+J273</f>
        <v>0</v>
      </c>
      <c r="L273" s="133"/>
      <c r="M273" s="60">
        <f>K273+L273</f>
        <v>0</v>
      </c>
      <c r="N273" s="133"/>
      <c r="O273" s="60">
        <f>M273+N273</f>
        <v>0</v>
      </c>
      <c r="P273" s="133"/>
      <c r="Q273" s="60">
        <f>O273+P273</f>
        <v>0</v>
      </c>
    </row>
    <row r="274" spans="2:17" ht="33.75" customHeight="1">
      <c r="B274" s="105" t="s">
        <v>439</v>
      </c>
      <c r="C274" s="6"/>
      <c r="D274" s="101" t="s">
        <v>56</v>
      </c>
      <c r="E274" s="103" t="s">
        <v>290</v>
      </c>
      <c r="F274" s="6"/>
      <c r="G274" s="60">
        <f>G275</f>
        <v>0</v>
      </c>
      <c r="H274" s="3"/>
      <c r="I274" s="60">
        <f>I275</f>
        <v>12945700</v>
      </c>
      <c r="J274" s="3"/>
      <c r="K274" s="60">
        <f>K275</f>
        <v>15945700</v>
      </c>
      <c r="L274" s="133"/>
      <c r="M274" s="60">
        <f>M275</f>
        <v>15945700</v>
      </c>
      <c r="N274" s="133"/>
      <c r="O274" s="60">
        <f>O275</f>
        <v>15345700</v>
      </c>
      <c r="P274" s="133"/>
      <c r="Q274" s="60">
        <f>Q275</f>
        <v>15945700</v>
      </c>
    </row>
    <row r="275" spans="2:17" ht="50.25" customHeight="1">
      <c r="B275" s="96" t="s">
        <v>384</v>
      </c>
      <c r="C275" s="6"/>
      <c r="D275" s="44" t="s">
        <v>56</v>
      </c>
      <c r="E275" s="6" t="s">
        <v>290</v>
      </c>
      <c r="F275" s="6" t="s">
        <v>383</v>
      </c>
      <c r="G275" s="60">
        <v>0</v>
      </c>
      <c r="H275" s="3">
        <v>12945700</v>
      </c>
      <c r="I275" s="60">
        <f>H275+G275</f>
        <v>12945700</v>
      </c>
      <c r="J275" s="3">
        <v>3000000</v>
      </c>
      <c r="K275" s="60">
        <f>J275+I275</f>
        <v>15945700</v>
      </c>
      <c r="L275" s="133"/>
      <c r="M275" s="60">
        <f>L275+K275</f>
        <v>15945700</v>
      </c>
      <c r="N275" s="133">
        <v>-600000</v>
      </c>
      <c r="O275" s="60">
        <f>N275+M275</f>
        <v>15345700</v>
      </c>
      <c r="P275" s="133">
        <v>600000</v>
      </c>
      <c r="Q275" s="60">
        <f>P275+O275</f>
        <v>15945700</v>
      </c>
    </row>
    <row r="276" spans="2:17" ht="64.5" customHeight="1">
      <c r="B276" s="108" t="s">
        <v>452</v>
      </c>
      <c r="C276" s="8" t="s">
        <v>200</v>
      </c>
      <c r="D276" s="8" t="s">
        <v>56</v>
      </c>
      <c r="E276" s="97" t="s">
        <v>453</v>
      </c>
      <c r="F276" s="8"/>
      <c r="G276" s="70">
        <f>G277</f>
        <v>0</v>
      </c>
      <c r="H276" s="52"/>
      <c r="I276" s="70">
        <f>I277</f>
        <v>2332000</v>
      </c>
      <c r="J276" s="52"/>
      <c r="K276" s="70">
        <f>K277</f>
        <v>2332000</v>
      </c>
      <c r="L276" s="138"/>
      <c r="M276" s="70">
        <f>M277</f>
        <v>2332000</v>
      </c>
      <c r="N276" s="138"/>
      <c r="O276" s="70">
        <f>O277</f>
        <v>20832000</v>
      </c>
      <c r="P276" s="138"/>
      <c r="Q276" s="70">
        <f>Q277</f>
        <v>8417865</v>
      </c>
    </row>
    <row r="277" spans="2:17" ht="32.25" customHeight="1">
      <c r="B277" s="105" t="s">
        <v>382</v>
      </c>
      <c r="C277" s="8" t="s">
        <v>200</v>
      </c>
      <c r="D277" s="8" t="s">
        <v>56</v>
      </c>
      <c r="E277" s="97" t="s">
        <v>453</v>
      </c>
      <c r="F277" s="97" t="s">
        <v>328</v>
      </c>
      <c r="G277" s="70">
        <v>0</v>
      </c>
      <c r="H277" s="111">
        <v>2332000</v>
      </c>
      <c r="I277" s="70">
        <f>G277+H277</f>
        <v>2332000</v>
      </c>
      <c r="J277" s="111">
        <v>0</v>
      </c>
      <c r="K277" s="70">
        <f>I277+J277</f>
        <v>2332000</v>
      </c>
      <c r="L277" s="139"/>
      <c r="M277" s="70">
        <f>K277+L277</f>
        <v>2332000</v>
      </c>
      <c r="N277" s="139">
        <v>18500000</v>
      </c>
      <c r="O277" s="70">
        <f>M277+N277</f>
        <v>20832000</v>
      </c>
      <c r="P277" s="139">
        <f>-600000-2500000-9314135</f>
        <v>-12414135</v>
      </c>
      <c r="Q277" s="70">
        <f>O277+P277</f>
        <v>8417865</v>
      </c>
    </row>
    <row r="278" spans="2:17" ht="15.75">
      <c r="B278" s="160" t="s">
        <v>519</v>
      </c>
      <c r="C278" s="8"/>
      <c r="D278" s="97" t="s">
        <v>56</v>
      </c>
      <c r="E278" s="97" t="s">
        <v>520</v>
      </c>
      <c r="F278" s="97"/>
      <c r="G278" s="70"/>
      <c r="H278" s="111"/>
      <c r="I278" s="70"/>
      <c r="J278" s="111"/>
      <c r="K278" s="70"/>
      <c r="L278" s="139"/>
      <c r="M278" s="70">
        <f>M279+M281</f>
        <v>24628300</v>
      </c>
      <c r="N278" s="139"/>
      <c r="O278" s="70">
        <f>O279+O281</f>
        <v>24628300</v>
      </c>
      <c r="P278" s="139"/>
      <c r="Q278" s="70">
        <f>Q279+Q281</f>
        <v>24628300</v>
      </c>
    </row>
    <row r="279" spans="2:17" ht="32.25" customHeight="1">
      <c r="B279" s="105" t="s">
        <v>566</v>
      </c>
      <c r="C279" s="8"/>
      <c r="D279" s="97" t="s">
        <v>56</v>
      </c>
      <c r="E279" s="97" t="s">
        <v>518</v>
      </c>
      <c r="F279" s="97"/>
      <c r="G279" s="70"/>
      <c r="H279" s="111"/>
      <c r="I279" s="70"/>
      <c r="J279" s="111"/>
      <c r="K279" s="70"/>
      <c r="L279" s="139"/>
      <c r="M279" s="70">
        <f>M280</f>
        <v>16509600</v>
      </c>
      <c r="N279" s="139"/>
      <c r="O279" s="70">
        <f>O280</f>
        <v>16509600</v>
      </c>
      <c r="P279" s="139"/>
      <c r="Q279" s="70">
        <f>Q280</f>
        <v>16509600</v>
      </c>
    </row>
    <row r="280" spans="2:17" ht="32.25" customHeight="1">
      <c r="B280" s="105" t="s">
        <v>382</v>
      </c>
      <c r="C280" s="97"/>
      <c r="D280" s="97" t="s">
        <v>56</v>
      </c>
      <c r="E280" s="97" t="s">
        <v>518</v>
      </c>
      <c r="F280" s="97" t="s">
        <v>328</v>
      </c>
      <c r="G280" s="70"/>
      <c r="H280" s="161"/>
      <c r="I280" s="70"/>
      <c r="J280" s="161"/>
      <c r="K280" s="70"/>
      <c r="L280" s="162">
        <v>16509600</v>
      </c>
      <c r="M280" s="70">
        <f>K280+L280</f>
        <v>16509600</v>
      </c>
      <c r="N280" s="162">
        <v>0</v>
      </c>
      <c r="O280" s="70">
        <f>M280+N280</f>
        <v>16509600</v>
      </c>
      <c r="P280" s="162"/>
      <c r="Q280" s="70">
        <f>O280+P280</f>
        <v>16509600</v>
      </c>
    </row>
    <row r="281" spans="2:17" ht="20.25" customHeight="1">
      <c r="B281" s="105" t="s">
        <v>501</v>
      </c>
      <c r="C281" s="8"/>
      <c r="D281" s="97" t="s">
        <v>56</v>
      </c>
      <c r="E281" s="97" t="s">
        <v>500</v>
      </c>
      <c r="F281" s="97"/>
      <c r="G281" s="70"/>
      <c r="H281" s="111"/>
      <c r="I281" s="70"/>
      <c r="J281" s="111"/>
      <c r="K281" s="70"/>
      <c r="L281" s="139"/>
      <c r="M281" s="70">
        <f>M282</f>
        <v>8118700</v>
      </c>
      <c r="N281" s="139"/>
      <c r="O281" s="70">
        <f>O282</f>
        <v>8118700</v>
      </c>
      <c r="P281" s="139"/>
      <c r="Q281" s="70">
        <f>Q282</f>
        <v>8118700</v>
      </c>
    </row>
    <row r="282" spans="2:17" ht="36" customHeight="1">
      <c r="B282" s="105" t="s">
        <v>499</v>
      </c>
      <c r="C282" s="8"/>
      <c r="D282" s="97" t="s">
        <v>56</v>
      </c>
      <c r="E282" s="97" t="s">
        <v>498</v>
      </c>
      <c r="F282" s="97"/>
      <c r="G282" s="70"/>
      <c r="H282" s="111"/>
      <c r="I282" s="70"/>
      <c r="J282" s="111"/>
      <c r="K282" s="70"/>
      <c r="L282" s="139"/>
      <c r="M282" s="70">
        <f>M283</f>
        <v>8118700</v>
      </c>
      <c r="N282" s="139"/>
      <c r="O282" s="70">
        <f>O283</f>
        <v>8118700</v>
      </c>
      <c r="P282" s="139"/>
      <c r="Q282" s="70">
        <f>Q283</f>
        <v>8118700</v>
      </c>
    </row>
    <row r="283" spans="2:17" ht="47.25">
      <c r="B283" s="105" t="s">
        <v>384</v>
      </c>
      <c r="C283" s="8"/>
      <c r="D283" s="97" t="s">
        <v>56</v>
      </c>
      <c r="E283" s="97" t="s">
        <v>498</v>
      </c>
      <c r="F283" s="97" t="s">
        <v>383</v>
      </c>
      <c r="G283" s="70"/>
      <c r="H283" s="111"/>
      <c r="I283" s="70"/>
      <c r="J283" s="111"/>
      <c r="K283" s="70"/>
      <c r="L283" s="139">
        <v>8118700</v>
      </c>
      <c r="M283" s="70">
        <f>K283+L283</f>
        <v>8118700</v>
      </c>
      <c r="N283" s="139">
        <v>0</v>
      </c>
      <c r="O283" s="70">
        <f>M283+N283</f>
        <v>8118700</v>
      </c>
      <c r="P283" s="139"/>
      <c r="Q283" s="70">
        <f>O283+P283</f>
        <v>8118700</v>
      </c>
    </row>
    <row r="284" spans="2:17" ht="16.5" customHeight="1">
      <c r="B284" s="17" t="s">
        <v>60</v>
      </c>
      <c r="C284" s="6"/>
      <c r="D284" s="44" t="s">
        <v>59</v>
      </c>
      <c r="E284" s="6"/>
      <c r="F284" s="6"/>
      <c r="G284" s="60" t="e">
        <f>G287+G296+G302</f>
        <v>#REF!</v>
      </c>
      <c r="H284" s="3"/>
      <c r="I284" s="60">
        <f>I287+I296+I302+I285</f>
        <v>10963400</v>
      </c>
      <c r="J284" s="3"/>
      <c r="K284" s="60">
        <f>K287+K296+K302+K285</f>
        <v>10913400</v>
      </c>
      <c r="L284" s="133"/>
      <c r="M284" s="60">
        <f>M287+M296+M302+M285</f>
        <v>10883400</v>
      </c>
      <c r="N284" s="133"/>
      <c r="O284" s="60">
        <f>O287+O296+O302+O285</f>
        <v>10851779</v>
      </c>
      <c r="P284" s="133"/>
      <c r="Q284" s="60">
        <f>Q287+Q296+Q302+Q285</f>
        <v>10895388</v>
      </c>
    </row>
    <row r="285" spans="2:17" ht="61.5" customHeight="1" hidden="1">
      <c r="B285" s="114" t="s">
        <v>459</v>
      </c>
      <c r="C285" s="97" t="s">
        <v>200</v>
      </c>
      <c r="D285" s="97" t="s">
        <v>59</v>
      </c>
      <c r="E285" s="97" t="s">
        <v>457</v>
      </c>
      <c r="F285" s="97"/>
      <c r="G285" s="60"/>
      <c r="H285" s="3"/>
      <c r="I285" s="60">
        <f>I286</f>
        <v>0</v>
      </c>
      <c r="J285" s="3"/>
      <c r="K285" s="60">
        <f>K286</f>
        <v>0</v>
      </c>
      <c r="L285" s="133"/>
      <c r="M285" s="60">
        <f>M286</f>
        <v>0</v>
      </c>
      <c r="N285" s="133"/>
      <c r="O285" s="60">
        <f>O286</f>
        <v>0</v>
      </c>
      <c r="P285" s="133"/>
      <c r="Q285" s="60">
        <f>Q286</f>
        <v>0</v>
      </c>
    </row>
    <row r="286" spans="2:17" ht="33.75" customHeight="1" hidden="1">
      <c r="B286" s="105" t="s">
        <v>323</v>
      </c>
      <c r="C286" s="97" t="s">
        <v>200</v>
      </c>
      <c r="D286" s="97" t="s">
        <v>59</v>
      </c>
      <c r="E286" s="97" t="s">
        <v>457</v>
      </c>
      <c r="F286" s="97" t="s">
        <v>328</v>
      </c>
      <c r="G286" s="60"/>
      <c r="H286" s="3">
        <v>0</v>
      </c>
      <c r="I286" s="60">
        <f>G286+H286</f>
        <v>0</v>
      </c>
      <c r="J286" s="3">
        <v>0</v>
      </c>
      <c r="K286" s="60">
        <f>I286+J286</f>
        <v>0</v>
      </c>
      <c r="L286" s="133"/>
      <c r="M286" s="60">
        <f>K286+L286</f>
        <v>0</v>
      </c>
      <c r="N286" s="133"/>
      <c r="O286" s="60">
        <f>M286+N286</f>
        <v>0</v>
      </c>
      <c r="P286" s="133"/>
      <c r="Q286" s="60">
        <f>O286+P286</f>
        <v>0</v>
      </c>
    </row>
    <row r="287" spans="2:17" ht="15.75">
      <c r="B287" s="17" t="s">
        <v>60</v>
      </c>
      <c r="C287" s="6"/>
      <c r="D287" s="44" t="s">
        <v>59</v>
      </c>
      <c r="E287" s="6" t="s">
        <v>61</v>
      </c>
      <c r="F287" s="6"/>
      <c r="G287" s="60">
        <f>SUM(G288+G290+G292+G294)</f>
        <v>0</v>
      </c>
      <c r="H287" s="3"/>
      <c r="I287" s="60">
        <f>SUM(I288+I290+I292+I294)</f>
        <v>10837400</v>
      </c>
      <c r="J287" s="3"/>
      <c r="K287" s="60">
        <f>SUM(K288+K290+K292+K294)</f>
        <v>10761800</v>
      </c>
      <c r="L287" s="133"/>
      <c r="M287" s="60">
        <f>SUM(M288+M290+M292+M294)</f>
        <v>10731800</v>
      </c>
      <c r="N287" s="133"/>
      <c r="O287" s="60">
        <f>SUM(O288+O290+O292+O294)</f>
        <v>10700179</v>
      </c>
      <c r="P287" s="133"/>
      <c r="Q287" s="60">
        <f>SUM(Q288+Q290+Q292+Q294)</f>
        <v>10743788</v>
      </c>
    </row>
    <row r="288" spans="2:17" ht="15.75">
      <c r="B288" s="12" t="s">
        <v>62</v>
      </c>
      <c r="C288" s="6"/>
      <c r="D288" s="44" t="s">
        <v>59</v>
      </c>
      <c r="E288" s="6" t="s">
        <v>63</v>
      </c>
      <c r="F288" s="6"/>
      <c r="G288" s="60">
        <f>G289</f>
        <v>0</v>
      </c>
      <c r="H288" s="3"/>
      <c r="I288" s="60">
        <f>I289</f>
        <v>6317400</v>
      </c>
      <c r="J288" s="3"/>
      <c r="K288" s="60">
        <f>K289</f>
        <v>6317400</v>
      </c>
      <c r="L288" s="133"/>
      <c r="M288" s="60">
        <f>M289</f>
        <v>6287400</v>
      </c>
      <c r="N288" s="133"/>
      <c r="O288" s="60">
        <f>O289</f>
        <v>6267400</v>
      </c>
      <c r="P288" s="133"/>
      <c r="Q288" s="60">
        <f>Q289</f>
        <v>6267400</v>
      </c>
    </row>
    <row r="289" spans="2:17" ht="30" customHeight="1">
      <c r="B289" s="7" t="s">
        <v>382</v>
      </c>
      <c r="C289" s="6"/>
      <c r="D289" s="44" t="s">
        <v>59</v>
      </c>
      <c r="E289" s="6" t="s">
        <v>63</v>
      </c>
      <c r="F289" s="6" t="s">
        <v>328</v>
      </c>
      <c r="G289" s="60">
        <v>0</v>
      </c>
      <c r="H289" s="3">
        <v>6317400</v>
      </c>
      <c r="I289" s="60">
        <f>G289+H289</f>
        <v>6317400</v>
      </c>
      <c r="J289" s="3">
        <v>0</v>
      </c>
      <c r="K289" s="60">
        <f>I289+J289</f>
        <v>6317400</v>
      </c>
      <c r="L289" s="133">
        <v>-30000</v>
      </c>
      <c r="M289" s="60">
        <f>K289+L289</f>
        <v>6287400</v>
      </c>
      <c r="N289" s="133">
        <v>-20000</v>
      </c>
      <c r="O289" s="60">
        <f>M289+N289</f>
        <v>6267400</v>
      </c>
      <c r="P289" s="133"/>
      <c r="Q289" s="60">
        <f>O289+P289</f>
        <v>6267400</v>
      </c>
    </row>
    <row r="290" spans="2:17" ht="20.25" customHeight="1" hidden="1">
      <c r="B290" s="12" t="s">
        <v>426</v>
      </c>
      <c r="C290" s="6"/>
      <c r="D290" s="44" t="s">
        <v>59</v>
      </c>
      <c r="E290" s="6" t="s">
        <v>425</v>
      </c>
      <c r="F290" s="6"/>
      <c r="G290" s="60">
        <f>G291</f>
        <v>0</v>
      </c>
      <c r="H290" s="3"/>
      <c r="I290" s="60">
        <f>I291</f>
        <v>0</v>
      </c>
      <c r="J290" s="3"/>
      <c r="K290" s="60">
        <f>K291</f>
        <v>0</v>
      </c>
      <c r="L290" s="133"/>
      <c r="M290" s="60">
        <f>M291</f>
        <v>0</v>
      </c>
      <c r="N290" s="133"/>
      <c r="O290" s="60">
        <f>O291</f>
        <v>0</v>
      </c>
      <c r="P290" s="133"/>
      <c r="Q290" s="60">
        <f>Q291</f>
        <v>0</v>
      </c>
    </row>
    <row r="291" spans="2:17" ht="39" customHeight="1" hidden="1">
      <c r="B291" s="7" t="s">
        <v>382</v>
      </c>
      <c r="C291" s="6"/>
      <c r="D291" s="44" t="s">
        <v>59</v>
      </c>
      <c r="E291" s="6" t="s">
        <v>425</v>
      </c>
      <c r="F291" s="6" t="s">
        <v>328</v>
      </c>
      <c r="G291" s="60">
        <v>0</v>
      </c>
      <c r="H291" s="3">
        <v>0</v>
      </c>
      <c r="I291" s="60">
        <f>G291+H291</f>
        <v>0</v>
      </c>
      <c r="J291" s="3">
        <v>0</v>
      </c>
      <c r="K291" s="60">
        <f>I291+J291</f>
        <v>0</v>
      </c>
      <c r="L291" s="133"/>
      <c r="M291" s="60">
        <f>K291+L291</f>
        <v>0</v>
      </c>
      <c r="N291" s="133"/>
      <c r="O291" s="60">
        <f>M291+N291</f>
        <v>0</v>
      </c>
      <c r="P291" s="133"/>
      <c r="Q291" s="60">
        <f>O291+P291</f>
        <v>0</v>
      </c>
    </row>
    <row r="292" spans="2:17" ht="15.75">
      <c r="B292" s="12" t="s">
        <v>64</v>
      </c>
      <c r="C292" s="6"/>
      <c r="D292" s="44" t="s">
        <v>59</v>
      </c>
      <c r="E292" s="6" t="s">
        <v>65</v>
      </c>
      <c r="F292" s="6"/>
      <c r="G292" s="60">
        <f>G293</f>
        <v>0</v>
      </c>
      <c r="H292" s="3"/>
      <c r="I292" s="60">
        <f>I293</f>
        <v>700000</v>
      </c>
      <c r="J292" s="3"/>
      <c r="K292" s="60">
        <f>K293</f>
        <v>700000</v>
      </c>
      <c r="L292" s="133"/>
      <c r="M292" s="60">
        <f>M293</f>
        <v>700000</v>
      </c>
      <c r="N292" s="133"/>
      <c r="O292" s="60">
        <f>O293</f>
        <v>680982.62</v>
      </c>
      <c r="P292" s="133"/>
      <c r="Q292" s="60">
        <f>Q293</f>
        <v>656782.62</v>
      </c>
    </row>
    <row r="293" spans="2:17" ht="31.5">
      <c r="B293" s="7" t="s">
        <v>382</v>
      </c>
      <c r="C293" s="6"/>
      <c r="D293" s="44" t="s">
        <v>59</v>
      </c>
      <c r="E293" s="6" t="s">
        <v>65</v>
      </c>
      <c r="F293" s="6" t="s">
        <v>328</v>
      </c>
      <c r="G293" s="60">
        <v>0</v>
      </c>
      <c r="H293" s="3">
        <v>700000</v>
      </c>
      <c r="I293" s="60">
        <f>G293+H293</f>
        <v>700000</v>
      </c>
      <c r="J293" s="3">
        <v>0</v>
      </c>
      <c r="K293" s="60">
        <f>I293+J293</f>
        <v>700000</v>
      </c>
      <c r="L293" s="133"/>
      <c r="M293" s="60">
        <f>K293+L293</f>
        <v>700000</v>
      </c>
      <c r="N293" s="133">
        <v>-19017.38</v>
      </c>
      <c r="O293" s="60">
        <f>M293+N293</f>
        <v>680982.62</v>
      </c>
      <c r="P293" s="133">
        <f>-20000-4200</f>
        <v>-24200</v>
      </c>
      <c r="Q293" s="60">
        <f>O293+P293</f>
        <v>656782.62</v>
      </c>
    </row>
    <row r="294" spans="2:17" ht="31.5">
      <c r="B294" s="12" t="s">
        <v>66</v>
      </c>
      <c r="C294" s="6"/>
      <c r="D294" s="44" t="s">
        <v>59</v>
      </c>
      <c r="E294" s="6" t="s">
        <v>67</v>
      </c>
      <c r="F294" s="6"/>
      <c r="G294" s="60">
        <f>G295</f>
        <v>0</v>
      </c>
      <c r="H294" s="3"/>
      <c r="I294" s="60">
        <f>I295</f>
        <v>3820000</v>
      </c>
      <c r="J294" s="3"/>
      <c r="K294" s="60">
        <f>K295</f>
        <v>3744400</v>
      </c>
      <c r="L294" s="133"/>
      <c r="M294" s="60">
        <f>M295</f>
        <v>3744400</v>
      </c>
      <c r="N294" s="133"/>
      <c r="O294" s="60">
        <f>O295</f>
        <v>3751796.38</v>
      </c>
      <c r="P294" s="133"/>
      <c r="Q294" s="60">
        <f>Q295</f>
        <v>3819605.38</v>
      </c>
    </row>
    <row r="295" spans="2:17" ht="36" customHeight="1">
      <c r="B295" s="7" t="s">
        <v>382</v>
      </c>
      <c r="C295" s="6"/>
      <c r="D295" s="44" t="s">
        <v>59</v>
      </c>
      <c r="E295" s="6" t="s">
        <v>67</v>
      </c>
      <c r="F295" s="6" t="s">
        <v>328</v>
      </c>
      <c r="G295" s="60">
        <v>0</v>
      </c>
      <c r="H295" s="110">
        <v>3820000</v>
      </c>
      <c r="I295" s="60">
        <f>G295+H295</f>
        <v>3820000</v>
      </c>
      <c r="J295" s="110">
        <v>-75600</v>
      </c>
      <c r="K295" s="60">
        <f>I295+J295</f>
        <v>3744400</v>
      </c>
      <c r="L295" s="136"/>
      <c r="M295" s="60">
        <f>K295+L295</f>
        <v>3744400</v>
      </c>
      <c r="N295" s="136">
        <v>7396.38</v>
      </c>
      <c r="O295" s="60">
        <f>M295+N295</f>
        <v>3751796.38</v>
      </c>
      <c r="P295" s="135">
        <f>4200+63609</f>
        <v>67809</v>
      </c>
      <c r="Q295" s="60">
        <f>O295+P295</f>
        <v>3819605.38</v>
      </c>
    </row>
    <row r="296" spans="2:17" ht="15.75">
      <c r="B296" s="12" t="s">
        <v>313</v>
      </c>
      <c r="C296" s="6"/>
      <c r="D296" s="44" t="s">
        <v>59</v>
      </c>
      <c r="E296" s="6" t="s">
        <v>104</v>
      </c>
      <c r="F296" s="6"/>
      <c r="G296" s="60" t="e">
        <f>#REF!+G297</f>
        <v>#REF!</v>
      </c>
      <c r="H296" s="3"/>
      <c r="I296" s="60">
        <f>I297</f>
        <v>126000</v>
      </c>
      <c r="J296" s="3"/>
      <c r="K296" s="60">
        <f>K297</f>
        <v>151600</v>
      </c>
      <c r="L296" s="133"/>
      <c r="M296" s="60">
        <f>M297</f>
        <v>151600</v>
      </c>
      <c r="N296" s="133"/>
      <c r="O296" s="60">
        <f>O297</f>
        <v>151600</v>
      </c>
      <c r="P296" s="133"/>
      <c r="Q296" s="60">
        <f>Q297</f>
        <v>151600</v>
      </c>
    </row>
    <row r="297" spans="2:17" ht="63">
      <c r="B297" s="100" t="s">
        <v>567</v>
      </c>
      <c r="C297" s="6"/>
      <c r="D297" s="101" t="s">
        <v>59</v>
      </c>
      <c r="E297" s="103" t="s">
        <v>293</v>
      </c>
      <c r="F297" s="103"/>
      <c r="G297" s="60" t="e">
        <f>#REF!+G298</f>
        <v>#REF!</v>
      </c>
      <c r="H297" s="3"/>
      <c r="I297" s="60">
        <f>I298</f>
        <v>126000</v>
      </c>
      <c r="J297" s="3"/>
      <c r="K297" s="60">
        <f>K298</f>
        <v>151600</v>
      </c>
      <c r="L297" s="133"/>
      <c r="M297" s="60">
        <f>M298</f>
        <v>151600</v>
      </c>
      <c r="N297" s="133"/>
      <c r="O297" s="60">
        <f>O298</f>
        <v>151600</v>
      </c>
      <c r="P297" s="133"/>
      <c r="Q297" s="60">
        <f>Q298</f>
        <v>151600</v>
      </c>
    </row>
    <row r="298" spans="2:17" ht="31.5">
      <c r="B298" s="7" t="s">
        <v>382</v>
      </c>
      <c r="C298" s="6"/>
      <c r="D298" s="44" t="s">
        <v>59</v>
      </c>
      <c r="E298" s="103" t="s">
        <v>293</v>
      </c>
      <c r="F298" s="103" t="s">
        <v>328</v>
      </c>
      <c r="G298" s="60">
        <v>0</v>
      </c>
      <c r="H298" s="3">
        <v>126000</v>
      </c>
      <c r="I298" s="60">
        <f>G298+H298</f>
        <v>126000</v>
      </c>
      <c r="J298" s="3">
        <v>25600</v>
      </c>
      <c r="K298" s="60">
        <f>I298+J298</f>
        <v>151600</v>
      </c>
      <c r="L298" s="133"/>
      <c r="M298" s="60">
        <f>K298+L298</f>
        <v>151600</v>
      </c>
      <c r="N298" s="133"/>
      <c r="O298" s="60">
        <f>M298+N298</f>
        <v>151600</v>
      </c>
      <c r="P298" s="133"/>
      <c r="Q298" s="60">
        <f>O298+P298</f>
        <v>151600</v>
      </c>
    </row>
    <row r="299" spans="2:17" ht="56.25" customHeight="1" hidden="1">
      <c r="B299" s="23" t="s">
        <v>400</v>
      </c>
      <c r="C299" s="6"/>
      <c r="D299" s="44" t="s">
        <v>59</v>
      </c>
      <c r="E299" s="6" t="s">
        <v>401</v>
      </c>
      <c r="F299" s="6"/>
      <c r="G299" s="60"/>
      <c r="H299" s="3"/>
      <c r="I299" s="60"/>
      <c r="J299" s="3"/>
      <c r="K299" s="60"/>
      <c r="L299" s="133"/>
      <c r="M299" s="60"/>
      <c r="N299" s="133"/>
      <c r="O299" s="60"/>
      <c r="P299" s="133"/>
      <c r="Q299" s="60"/>
    </row>
    <row r="300" spans="2:17" ht="52.5" customHeight="1" hidden="1">
      <c r="B300" s="94" t="s">
        <v>398</v>
      </c>
      <c r="C300" s="6"/>
      <c r="D300" s="44" t="s">
        <v>59</v>
      </c>
      <c r="E300" s="6" t="s">
        <v>399</v>
      </c>
      <c r="F300" s="6"/>
      <c r="G300" s="60" t="e">
        <f>G301</f>
        <v>#REF!</v>
      </c>
      <c r="H300" s="3"/>
      <c r="I300" s="60" t="e">
        <f>I301</f>
        <v>#REF!</v>
      </c>
      <c r="J300" s="3"/>
      <c r="K300" s="60" t="e">
        <f>K301</f>
        <v>#REF!</v>
      </c>
      <c r="L300" s="133"/>
      <c r="M300" s="60" t="e">
        <f>M301</f>
        <v>#REF!</v>
      </c>
      <c r="N300" s="133"/>
      <c r="O300" s="60" t="e">
        <f>O301</f>
        <v>#REF!</v>
      </c>
      <c r="P300" s="133"/>
      <c r="Q300" s="60" t="e">
        <f>Q301</f>
        <v>#REF!</v>
      </c>
    </row>
    <row r="301" spans="2:17" ht="18" customHeight="1" hidden="1">
      <c r="B301" s="7" t="s">
        <v>382</v>
      </c>
      <c r="C301" s="6"/>
      <c r="D301" s="44" t="s">
        <v>59</v>
      </c>
      <c r="E301" s="6" t="s">
        <v>399</v>
      </c>
      <c r="F301" s="6" t="s">
        <v>328</v>
      </c>
      <c r="G301" s="60" t="e">
        <f>#REF!+#REF!</f>
        <v>#REF!</v>
      </c>
      <c r="H301" s="3"/>
      <c r="I301" s="60" t="e">
        <f>H301+G301</f>
        <v>#REF!</v>
      </c>
      <c r="J301" s="3"/>
      <c r="K301" s="60" t="e">
        <f>J301+I301</f>
        <v>#REF!</v>
      </c>
      <c r="L301" s="133"/>
      <c r="M301" s="60" t="e">
        <f>L301+K301</f>
        <v>#REF!</v>
      </c>
      <c r="N301" s="133"/>
      <c r="O301" s="60" t="e">
        <f>N301+M301</f>
        <v>#REF!</v>
      </c>
      <c r="P301" s="133"/>
      <c r="Q301" s="60" t="e">
        <f>P301+O301</f>
        <v>#REF!</v>
      </c>
    </row>
    <row r="302" spans="2:17" ht="64.5" customHeight="1" hidden="1">
      <c r="B302" s="106" t="s">
        <v>440</v>
      </c>
      <c r="C302" s="6"/>
      <c r="D302" s="44" t="s">
        <v>59</v>
      </c>
      <c r="E302" s="103" t="s">
        <v>441</v>
      </c>
      <c r="F302" s="6"/>
      <c r="G302" s="60">
        <f>G303</f>
        <v>0</v>
      </c>
      <c r="H302" s="3" t="s">
        <v>445</v>
      </c>
      <c r="I302" s="60">
        <f>I303</f>
        <v>0</v>
      </c>
      <c r="J302" s="3" t="s">
        <v>445</v>
      </c>
      <c r="K302" s="60">
        <f>K303</f>
        <v>0</v>
      </c>
      <c r="L302" s="133"/>
      <c r="M302" s="60">
        <f>M303</f>
        <v>0</v>
      </c>
      <c r="N302" s="133"/>
      <c r="O302" s="60">
        <f>O303</f>
        <v>0</v>
      </c>
      <c r="P302" s="133"/>
      <c r="Q302" s="60">
        <f>Q303</f>
        <v>0</v>
      </c>
    </row>
    <row r="303" spans="2:17" ht="47.25" hidden="1">
      <c r="B303" s="107" t="s">
        <v>384</v>
      </c>
      <c r="C303" s="6"/>
      <c r="D303" s="6" t="s">
        <v>59</v>
      </c>
      <c r="E303" s="103" t="s">
        <v>441</v>
      </c>
      <c r="F303" s="103" t="s">
        <v>383</v>
      </c>
      <c r="G303" s="60">
        <v>0</v>
      </c>
      <c r="H303" s="3">
        <v>0</v>
      </c>
      <c r="I303" s="60">
        <f>G303+H303</f>
        <v>0</v>
      </c>
      <c r="J303" s="3">
        <v>0</v>
      </c>
      <c r="K303" s="60">
        <f>I303+J303</f>
        <v>0</v>
      </c>
      <c r="L303" s="133"/>
      <c r="M303" s="60">
        <f>K303+L303</f>
        <v>0</v>
      </c>
      <c r="N303" s="133"/>
      <c r="O303" s="60">
        <f>M303+N303</f>
        <v>0</v>
      </c>
      <c r="P303" s="133"/>
      <c r="Q303" s="60">
        <f>O303+P303</f>
        <v>0</v>
      </c>
    </row>
    <row r="304" spans="2:17" ht="36" customHeight="1">
      <c r="B304" s="18" t="s">
        <v>68</v>
      </c>
      <c r="C304" s="6"/>
      <c r="D304" s="6" t="s">
        <v>69</v>
      </c>
      <c r="E304" s="6"/>
      <c r="F304" s="6"/>
      <c r="G304" s="60">
        <f>G305+G308</f>
        <v>0</v>
      </c>
      <c r="H304" s="3"/>
      <c r="I304" s="60">
        <f>I305+I307</f>
        <v>4413500</v>
      </c>
      <c r="J304" s="3"/>
      <c r="K304" s="60">
        <f>K305+K307</f>
        <v>4413500</v>
      </c>
      <c r="L304" s="133"/>
      <c r="M304" s="60">
        <f>M305+M307</f>
        <v>4413500</v>
      </c>
      <c r="N304" s="133"/>
      <c r="O304" s="60">
        <f>O305+O307</f>
        <v>3313500</v>
      </c>
      <c r="P304" s="133"/>
      <c r="Q304" s="60">
        <f>Q305+Q307</f>
        <v>3313500</v>
      </c>
    </row>
    <row r="305" spans="2:17" ht="31.5">
      <c r="B305" s="17" t="s">
        <v>275</v>
      </c>
      <c r="C305" s="6"/>
      <c r="D305" s="44" t="s">
        <v>69</v>
      </c>
      <c r="E305" s="6" t="s">
        <v>58</v>
      </c>
      <c r="F305" s="6"/>
      <c r="G305" s="60">
        <f>G306</f>
        <v>0</v>
      </c>
      <c r="H305" s="3"/>
      <c r="I305" s="60">
        <f>I306</f>
        <v>300000</v>
      </c>
      <c r="J305" s="3"/>
      <c r="K305" s="60">
        <f>K306</f>
        <v>300000</v>
      </c>
      <c r="L305" s="133"/>
      <c r="M305" s="60">
        <f>M306</f>
        <v>300000</v>
      </c>
      <c r="N305" s="133"/>
      <c r="O305" s="60">
        <f>O306</f>
        <v>300000</v>
      </c>
      <c r="P305" s="133"/>
      <c r="Q305" s="60">
        <f>Q306</f>
        <v>300000</v>
      </c>
    </row>
    <row r="306" spans="2:17" ht="50.25" customHeight="1">
      <c r="B306" s="31" t="s">
        <v>359</v>
      </c>
      <c r="C306" s="6"/>
      <c r="D306" s="44" t="s">
        <v>69</v>
      </c>
      <c r="E306" s="6" t="s">
        <v>58</v>
      </c>
      <c r="F306" s="6" t="s">
        <v>360</v>
      </c>
      <c r="G306" s="60">
        <v>0</v>
      </c>
      <c r="H306" s="3">
        <v>300000</v>
      </c>
      <c r="I306" s="60">
        <f>G306+H306</f>
        <v>300000</v>
      </c>
      <c r="J306" s="3">
        <v>0</v>
      </c>
      <c r="K306" s="60">
        <f>I306+J306</f>
        <v>300000</v>
      </c>
      <c r="L306" s="133"/>
      <c r="M306" s="60">
        <f>K306+L306</f>
        <v>300000</v>
      </c>
      <c r="N306" s="133"/>
      <c r="O306" s="60">
        <f>M306+N306</f>
        <v>300000</v>
      </c>
      <c r="P306" s="133"/>
      <c r="Q306" s="60">
        <f>O306+P306</f>
        <v>300000</v>
      </c>
    </row>
    <row r="307" spans="2:17" ht="15.75">
      <c r="B307" s="12" t="s">
        <v>313</v>
      </c>
      <c r="C307" s="6"/>
      <c r="D307" s="101" t="s">
        <v>69</v>
      </c>
      <c r="E307" s="103" t="s">
        <v>104</v>
      </c>
      <c r="F307" s="6"/>
      <c r="G307" s="60"/>
      <c r="H307" s="3"/>
      <c r="I307" s="60">
        <f>I308</f>
        <v>4113500</v>
      </c>
      <c r="J307" s="3"/>
      <c r="K307" s="60">
        <f>K308</f>
        <v>4113500</v>
      </c>
      <c r="L307" s="133"/>
      <c r="M307" s="60">
        <f>M308</f>
        <v>4113500</v>
      </c>
      <c r="N307" s="133"/>
      <c r="O307" s="60">
        <f>O308</f>
        <v>3013500</v>
      </c>
      <c r="P307" s="133"/>
      <c r="Q307" s="60">
        <f>Q308</f>
        <v>3013500</v>
      </c>
    </row>
    <row r="308" spans="2:17" ht="81.75" customHeight="1">
      <c r="B308" s="100" t="s">
        <v>477</v>
      </c>
      <c r="C308" s="44"/>
      <c r="D308" s="44" t="s">
        <v>69</v>
      </c>
      <c r="E308" s="44" t="s">
        <v>292</v>
      </c>
      <c r="F308" s="44"/>
      <c r="G308" s="60">
        <f>G309</f>
        <v>0</v>
      </c>
      <c r="H308" s="40"/>
      <c r="I308" s="60">
        <f>I309</f>
        <v>4113500</v>
      </c>
      <c r="J308" s="40"/>
      <c r="K308" s="60">
        <f>K309</f>
        <v>4113500</v>
      </c>
      <c r="L308" s="135"/>
      <c r="M308" s="60">
        <f>M309</f>
        <v>4113500</v>
      </c>
      <c r="N308" s="135"/>
      <c r="O308" s="60">
        <f>O309</f>
        <v>3013500</v>
      </c>
      <c r="P308" s="135"/>
      <c r="Q308" s="60">
        <f>Q309</f>
        <v>3013500</v>
      </c>
    </row>
    <row r="309" spans="2:17" ht="50.25" customHeight="1">
      <c r="B309" s="31" t="s">
        <v>384</v>
      </c>
      <c r="C309" s="44"/>
      <c r="D309" s="44" t="s">
        <v>69</v>
      </c>
      <c r="E309" s="44" t="s">
        <v>292</v>
      </c>
      <c r="F309" s="44" t="s">
        <v>383</v>
      </c>
      <c r="G309" s="60">
        <v>0</v>
      </c>
      <c r="H309" s="40">
        <v>4113500</v>
      </c>
      <c r="I309" s="60">
        <f>G309+H309</f>
        <v>4113500</v>
      </c>
      <c r="J309" s="40">
        <v>0</v>
      </c>
      <c r="K309" s="60">
        <f>I309+J309</f>
        <v>4113500</v>
      </c>
      <c r="L309" s="135"/>
      <c r="M309" s="60">
        <f>K309+L309</f>
        <v>4113500</v>
      </c>
      <c r="N309" s="135">
        <v>-1100000</v>
      </c>
      <c r="O309" s="60">
        <f>M309+N309</f>
        <v>3013500</v>
      </c>
      <c r="P309" s="135"/>
      <c r="Q309" s="60">
        <f>O309+P309</f>
        <v>3013500</v>
      </c>
    </row>
    <row r="310" spans="2:17" ht="16.5" customHeight="1">
      <c r="B310" s="83" t="s">
        <v>70</v>
      </c>
      <c r="C310" s="8" t="s">
        <v>71</v>
      </c>
      <c r="D310" s="45" t="s">
        <v>71</v>
      </c>
      <c r="E310" s="8"/>
      <c r="F310" s="8"/>
      <c r="G310" s="60"/>
      <c r="H310" s="3"/>
      <c r="I310" s="60">
        <f>I311+I314</f>
        <v>637000</v>
      </c>
      <c r="J310" s="3"/>
      <c r="K310" s="60">
        <f>K311+K314</f>
        <v>637000</v>
      </c>
      <c r="L310" s="133"/>
      <c r="M310" s="60">
        <f>M311+M314</f>
        <v>537000</v>
      </c>
      <c r="N310" s="133"/>
      <c r="O310" s="60">
        <f>O311+O314</f>
        <v>537000</v>
      </c>
      <c r="P310" s="133"/>
      <c r="Q310" s="60">
        <f>Q311+Q314</f>
        <v>537000</v>
      </c>
    </row>
    <row r="311" spans="2:17" ht="16.5" customHeight="1">
      <c r="B311" s="105" t="s">
        <v>482</v>
      </c>
      <c r="C311" s="8"/>
      <c r="D311" s="98" t="s">
        <v>203</v>
      </c>
      <c r="E311" s="8"/>
      <c r="F311" s="8"/>
      <c r="G311" s="60"/>
      <c r="H311" s="3"/>
      <c r="I311" s="60">
        <f>I312</f>
        <v>100000</v>
      </c>
      <c r="J311" s="3"/>
      <c r="K311" s="60">
        <f>K312</f>
        <v>100000</v>
      </c>
      <c r="L311" s="133"/>
      <c r="M311" s="60">
        <f>M312</f>
        <v>100000</v>
      </c>
      <c r="N311" s="133"/>
      <c r="O311" s="60">
        <f>O312</f>
        <v>100000</v>
      </c>
      <c r="P311" s="133"/>
      <c r="Q311" s="60">
        <f>Q312</f>
        <v>100000</v>
      </c>
    </row>
    <row r="312" spans="2:17" ht="33" customHeight="1">
      <c r="B312" s="105" t="s">
        <v>486</v>
      </c>
      <c r="C312" s="8"/>
      <c r="D312" s="98" t="s">
        <v>203</v>
      </c>
      <c r="E312" s="8" t="s">
        <v>483</v>
      </c>
      <c r="F312" s="8"/>
      <c r="G312" s="60"/>
      <c r="H312" s="3"/>
      <c r="I312" s="60">
        <f>I313</f>
        <v>100000</v>
      </c>
      <c r="J312" s="3"/>
      <c r="K312" s="60">
        <f>K313</f>
        <v>100000</v>
      </c>
      <c r="L312" s="133"/>
      <c r="M312" s="60">
        <f>M313</f>
        <v>100000</v>
      </c>
      <c r="N312" s="133"/>
      <c r="O312" s="60">
        <f>O313</f>
        <v>100000</v>
      </c>
      <c r="P312" s="133"/>
      <c r="Q312" s="60">
        <f>Q313</f>
        <v>100000</v>
      </c>
    </row>
    <row r="313" spans="2:17" ht="30" customHeight="1">
      <c r="B313" s="109" t="s">
        <v>382</v>
      </c>
      <c r="C313" s="8"/>
      <c r="D313" s="98" t="s">
        <v>203</v>
      </c>
      <c r="E313" s="8" t="s">
        <v>483</v>
      </c>
      <c r="F313" s="8" t="s">
        <v>328</v>
      </c>
      <c r="G313" s="60"/>
      <c r="H313" s="3"/>
      <c r="I313" s="60">
        <v>100000</v>
      </c>
      <c r="J313" s="3"/>
      <c r="K313" s="60">
        <v>100000</v>
      </c>
      <c r="L313" s="133"/>
      <c r="M313" s="60">
        <v>100000</v>
      </c>
      <c r="N313" s="133"/>
      <c r="O313" s="60">
        <v>100000</v>
      </c>
      <c r="P313" s="133"/>
      <c r="Q313" s="60">
        <v>100000</v>
      </c>
    </row>
    <row r="314" spans="2:17" ht="31.5">
      <c r="B314" s="7" t="s">
        <v>72</v>
      </c>
      <c r="C314" s="8"/>
      <c r="D314" s="46" t="s">
        <v>73</v>
      </c>
      <c r="E314" s="8"/>
      <c r="F314" s="8"/>
      <c r="G314" s="60"/>
      <c r="H314" s="3"/>
      <c r="I314" s="60">
        <f>I315</f>
        <v>537000</v>
      </c>
      <c r="J314" s="3"/>
      <c r="K314" s="60">
        <f>K315</f>
        <v>537000</v>
      </c>
      <c r="L314" s="133"/>
      <c r="M314" s="60">
        <f>M315</f>
        <v>437000</v>
      </c>
      <c r="N314" s="133"/>
      <c r="O314" s="60">
        <f>O315</f>
        <v>437000</v>
      </c>
      <c r="P314" s="133"/>
      <c r="Q314" s="60">
        <f>Q315</f>
        <v>437000</v>
      </c>
    </row>
    <row r="315" spans="2:17" ht="31.5">
      <c r="B315" s="105" t="s">
        <v>486</v>
      </c>
      <c r="C315" s="8"/>
      <c r="D315" s="46" t="s">
        <v>73</v>
      </c>
      <c r="E315" s="8" t="s">
        <v>483</v>
      </c>
      <c r="F315" s="8"/>
      <c r="G315" s="60"/>
      <c r="H315" s="3"/>
      <c r="I315" s="60">
        <f>I316</f>
        <v>537000</v>
      </c>
      <c r="J315" s="3"/>
      <c r="K315" s="60">
        <f>K316</f>
        <v>537000</v>
      </c>
      <c r="L315" s="133"/>
      <c r="M315" s="60">
        <f>M316</f>
        <v>437000</v>
      </c>
      <c r="N315" s="133"/>
      <c r="O315" s="60">
        <f>O316</f>
        <v>437000</v>
      </c>
      <c r="P315" s="133"/>
      <c r="Q315" s="60">
        <f>Q316</f>
        <v>437000</v>
      </c>
    </row>
    <row r="316" spans="2:17" ht="33" customHeight="1">
      <c r="B316" s="7" t="s">
        <v>382</v>
      </c>
      <c r="C316" s="8"/>
      <c r="D316" s="46" t="s">
        <v>73</v>
      </c>
      <c r="E316" s="8" t="s">
        <v>483</v>
      </c>
      <c r="F316" s="8" t="s">
        <v>328</v>
      </c>
      <c r="G316" s="60">
        <v>0</v>
      </c>
      <c r="H316" s="40">
        <v>537000</v>
      </c>
      <c r="I316" s="60">
        <v>537000</v>
      </c>
      <c r="J316" s="40">
        <v>0</v>
      </c>
      <c r="K316" s="60">
        <v>537000</v>
      </c>
      <c r="L316" s="135">
        <v>-100000</v>
      </c>
      <c r="M316" s="60">
        <f>K316+L316</f>
        <v>437000</v>
      </c>
      <c r="N316" s="135"/>
      <c r="O316" s="60">
        <f>M316+N316</f>
        <v>437000</v>
      </c>
      <c r="P316" s="135"/>
      <c r="Q316" s="60">
        <f>O316+P316</f>
        <v>437000</v>
      </c>
    </row>
    <row r="317" spans="2:17" ht="15.75" customHeight="1">
      <c r="B317" s="75" t="s">
        <v>74</v>
      </c>
      <c r="C317" s="6" t="s">
        <v>75</v>
      </c>
      <c r="D317" s="47" t="s">
        <v>75</v>
      </c>
      <c r="E317" s="6"/>
      <c r="F317" s="6"/>
      <c r="G317" s="60" t="e">
        <f>SUM(G318+G350+G417+G450)</f>
        <v>#REF!</v>
      </c>
      <c r="H317" s="3"/>
      <c r="I317" s="60" t="e">
        <f>SUM(I318+I350+I417+I450)</f>
        <v>#REF!</v>
      </c>
      <c r="J317" s="3"/>
      <c r="K317" s="60">
        <f>SUM(K318+K350+K417+K450)</f>
        <v>488205720</v>
      </c>
      <c r="L317" s="133"/>
      <c r="M317" s="60">
        <f>SUM(M318+M350+M417+M450)</f>
        <v>494397888</v>
      </c>
      <c r="N317" s="133"/>
      <c r="O317" s="60">
        <f>SUM(O318+O350+O417+O450)</f>
        <v>512590319.13</v>
      </c>
      <c r="P317" s="133"/>
      <c r="Q317" s="60">
        <f>SUM(Q318+Q350+Q417+Q450)</f>
        <v>581867319.13</v>
      </c>
    </row>
    <row r="318" spans="2:17" ht="15.75">
      <c r="B318" s="12" t="s">
        <v>132</v>
      </c>
      <c r="C318" s="6"/>
      <c r="D318" s="44" t="s">
        <v>133</v>
      </c>
      <c r="E318" s="6"/>
      <c r="F318" s="6"/>
      <c r="G318" s="60" t="e">
        <f>SUM(G322+G334+#REF!+#REF!+#REF!)</f>
        <v>#REF!</v>
      </c>
      <c r="H318" s="3"/>
      <c r="I318" s="60">
        <f>I321</f>
        <v>114025259</v>
      </c>
      <c r="J318" s="3"/>
      <c r="K318" s="60">
        <f>K321</f>
        <v>129423356</v>
      </c>
      <c r="L318" s="133"/>
      <c r="M318" s="60">
        <f>M321+M334+M344</f>
        <v>128368155</v>
      </c>
      <c r="N318" s="133"/>
      <c r="O318" s="60">
        <f>O321+O334+O344+O319</f>
        <v>126825253.39</v>
      </c>
      <c r="P318" s="133"/>
      <c r="Q318" s="60">
        <f>Q321+Q334+Q344+Q319+Q347</f>
        <v>179614199.16</v>
      </c>
    </row>
    <row r="319" spans="2:17" s="168" customFormat="1" ht="15.75">
      <c r="B319" s="166" t="s">
        <v>454</v>
      </c>
      <c r="C319" s="6"/>
      <c r="D319" s="97" t="s">
        <v>133</v>
      </c>
      <c r="E319" s="97" t="s">
        <v>211</v>
      </c>
      <c r="F319" s="97"/>
      <c r="G319" s="167"/>
      <c r="H319" s="112"/>
      <c r="I319" s="167"/>
      <c r="J319" s="112"/>
      <c r="K319" s="167"/>
      <c r="L319" s="134"/>
      <c r="M319" s="167"/>
      <c r="N319" s="134"/>
      <c r="O319" s="167">
        <f>O320</f>
        <v>100000</v>
      </c>
      <c r="P319" s="134"/>
      <c r="Q319" s="167">
        <f>Q320</f>
        <v>100000</v>
      </c>
    </row>
    <row r="320" spans="2:17" s="168" customFormat="1" ht="31.5">
      <c r="B320" s="7" t="s">
        <v>382</v>
      </c>
      <c r="C320" s="6"/>
      <c r="D320" s="97" t="s">
        <v>133</v>
      </c>
      <c r="E320" s="97" t="s">
        <v>211</v>
      </c>
      <c r="F320" s="97" t="s">
        <v>328</v>
      </c>
      <c r="G320" s="167"/>
      <c r="H320" s="112"/>
      <c r="I320" s="167"/>
      <c r="J320" s="112"/>
      <c r="K320" s="167"/>
      <c r="L320" s="134"/>
      <c r="M320" s="167"/>
      <c r="N320" s="134">
        <v>100000</v>
      </c>
      <c r="O320" s="167">
        <f>M320+N320</f>
        <v>100000</v>
      </c>
      <c r="P320" s="134"/>
      <c r="Q320" s="167">
        <f>O320+P320</f>
        <v>100000</v>
      </c>
    </row>
    <row r="321" spans="2:17" ht="15.75">
      <c r="B321" s="12" t="s">
        <v>134</v>
      </c>
      <c r="C321" s="6"/>
      <c r="D321" s="44" t="s">
        <v>133</v>
      </c>
      <c r="E321" s="6" t="s">
        <v>135</v>
      </c>
      <c r="F321" s="6"/>
      <c r="G321" s="60"/>
      <c r="H321" s="3"/>
      <c r="I321" s="129">
        <f>I322+I329+I331</f>
        <v>114025259</v>
      </c>
      <c r="J321" s="6"/>
      <c r="K321" s="60">
        <f>K322+K329+K331</f>
        <v>129423356</v>
      </c>
      <c r="L321" s="152"/>
      <c r="M321" s="60">
        <f>M322+M329+M331+M333</f>
        <v>127736155</v>
      </c>
      <c r="N321" s="152"/>
      <c r="O321" s="60">
        <f>O322+O329+O331+O333</f>
        <v>126093253.39</v>
      </c>
      <c r="P321" s="152"/>
      <c r="Q321" s="60">
        <f>Q322+Q329+Q331+Q333</f>
        <v>125886727.16</v>
      </c>
    </row>
    <row r="322" spans="2:17" ht="15.75">
      <c r="B322" s="12" t="s">
        <v>134</v>
      </c>
      <c r="C322" s="6"/>
      <c r="D322" s="44" t="s">
        <v>133</v>
      </c>
      <c r="E322" s="6" t="s">
        <v>135</v>
      </c>
      <c r="F322" s="6"/>
      <c r="G322" s="60">
        <f>G323++G324+G325+G326+G327+G328+G331+G329</f>
        <v>0</v>
      </c>
      <c r="H322" s="3"/>
      <c r="I322" s="60">
        <f>I323+I324+I325+I326+I327+I328</f>
        <v>101543655</v>
      </c>
      <c r="J322" s="3"/>
      <c r="K322" s="60">
        <f>K323+K324+K325+K326+K327+K328</f>
        <v>116941752</v>
      </c>
      <c r="L322" s="133"/>
      <c r="M322" s="60">
        <f>M323+M324+M325+M326+M327+M328</f>
        <v>106322543</v>
      </c>
      <c r="N322" s="133"/>
      <c r="O322" s="60">
        <f>O323+O324+O325+O326+O327+O328</f>
        <v>104679641.39</v>
      </c>
      <c r="P322" s="133"/>
      <c r="Q322" s="60">
        <f>Q323+Q324+Q325+Q326+Q327+Q328</f>
        <v>104473115.16</v>
      </c>
    </row>
    <row r="323" spans="2:17" ht="15.75">
      <c r="B323" s="31" t="s">
        <v>320</v>
      </c>
      <c r="C323" s="6"/>
      <c r="D323" s="8" t="s">
        <v>133</v>
      </c>
      <c r="E323" s="8" t="s">
        <v>135</v>
      </c>
      <c r="F323" s="8" t="s">
        <v>325</v>
      </c>
      <c r="G323" s="86">
        <v>0</v>
      </c>
      <c r="H323" s="118">
        <v>74461823</v>
      </c>
      <c r="I323" s="86">
        <f aca="true" t="shared" si="14" ref="I323:K328">G323+H323</f>
        <v>74461823</v>
      </c>
      <c r="J323" s="118">
        <v>21404000</v>
      </c>
      <c r="K323" s="86">
        <f t="shared" si="14"/>
        <v>95865823</v>
      </c>
      <c r="L323" s="141">
        <v>-8604305</v>
      </c>
      <c r="M323" s="86">
        <f aca="true" t="shared" si="15" ref="M323:O328">K323+L323</f>
        <v>87261518</v>
      </c>
      <c r="N323" s="141">
        <f>-4969-315001.81-1110606</f>
        <v>-1430576.81</v>
      </c>
      <c r="O323" s="86">
        <f t="shared" si="15"/>
        <v>85830941.19</v>
      </c>
      <c r="P323" s="141">
        <v>-200000</v>
      </c>
      <c r="Q323" s="86">
        <f aca="true" t="shared" si="16" ref="Q323:Q328">O323+P323</f>
        <v>85630941.19</v>
      </c>
    </row>
    <row r="324" spans="2:17" ht="31.5">
      <c r="B324" s="31" t="s">
        <v>321</v>
      </c>
      <c r="C324" s="6"/>
      <c r="D324" s="8" t="s">
        <v>133</v>
      </c>
      <c r="E324" s="8" t="s">
        <v>135</v>
      </c>
      <c r="F324" s="8" t="s">
        <v>326</v>
      </c>
      <c r="G324" s="60">
        <v>0</v>
      </c>
      <c r="H324" s="118">
        <v>241110</v>
      </c>
      <c r="I324" s="60">
        <f t="shared" si="14"/>
        <v>241110</v>
      </c>
      <c r="J324" s="118">
        <v>0</v>
      </c>
      <c r="K324" s="60">
        <f t="shared" si="14"/>
        <v>241110</v>
      </c>
      <c r="L324" s="141">
        <v>-28650</v>
      </c>
      <c r="M324" s="60">
        <f t="shared" si="15"/>
        <v>212460</v>
      </c>
      <c r="N324" s="141">
        <v>-4670.44</v>
      </c>
      <c r="O324" s="60">
        <f t="shared" si="15"/>
        <v>207789.56</v>
      </c>
      <c r="P324" s="141"/>
      <c r="Q324" s="60">
        <f t="shared" si="16"/>
        <v>207789.56</v>
      </c>
    </row>
    <row r="325" spans="2:17" ht="47.25">
      <c r="B325" s="31" t="s">
        <v>322</v>
      </c>
      <c r="C325" s="6"/>
      <c r="D325" s="8" t="s">
        <v>133</v>
      </c>
      <c r="E325" s="8" t="s">
        <v>135</v>
      </c>
      <c r="F325" s="8" t="s">
        <v>327</v>
      </c>
      <c r="G325" s="60">
        <v>0</v>
      </c>
      <c r="H325" s="118">
        <v>645005</v>
      </c>
      <c r="I325" s="60">
        <f t="shared" si="14"/>
        <v>645005</v>
      </c>
      <c r="J325" s="118">
        <v>0</v>
      </c>
      <c r="K325" s="60">
        <f t="shared" si="14"/>
        <v>645005</v>
      </c>
      <c r="L325" s="141">
        <f>-107972-70000</f>
        <v>-177972</v>
      </c>
      <c r="M325" s="60">
        <f t="shared" si="15"/>
        <v>467033</v>
      </c>
      <c r="N325" s="141">
        <v>-29451.94</v>
      </c>
      <c r="O325" s="60">
        <f t="shared" si="15"/>
        <v>437581.06</v>
      </c>
      <c r="P325" s="141"/>
      <c r="Q325" s="60">
        <f t="shared" si="16"/>
        <v>437581.06</v>
      </c>
    </row>
    <row r="326" spans="2:17" ht="47.25">
      <c r="B326" s="31" t="s">
        <v>376</v>
      </c>
      <c r="C326" s="6"/>
      <c r="D326" s="8" t="s">
        <v>133</v>
      </c>
      <c r="E326" s="8" t="s">
        <v>135</v>
      </c>
      <c r="F326" s="8" t="s">
        <v>331</v>
      </c>
      <c r="G326" s="60">
        <v>0</v>
      </c>
      <c r="H326" s="118">
        <v>238110</v>
      </c>
      <c r="I326" s="60">
        <f t="shared" si="14"/>
        <v>238110</v>
      </c>
      <c r="J326" s="118">
        <v>0</v>
      </c>
      <c r="K326" s="60">
        <f t="shared" si="14"/>
        <v>238110</v>
      </c>
      <c r="L326" s="141">
        <v>-97000</v>
      </c>
      <c r="M326" s="60">
        <f t="shared" si="15"/>
        <v>141110</v>
      </c>
      <c r="N326" s="141">
        <v>0</v>
      </c>
      <c r="O326" s="60">
        <f t="shared" si="15"/>
        <v>141110</v>
      </c>
      <c r="P326" s="141"/>
      <c r="Q326" s="60">
        <f t="shared" si="16"/>
        <v>141110</v>
      </c>
    </row>
    <row r="327" spans="2:17" ht="31.5">
      <c r="B327" s="31" t="s">
        <v>382</v>
      </c>
      <c r="C327" s="6"/>
      <c r="D327" s="8" t="s">
        <v>133</v>
      </c>
      <c r="E327" s="8" t="s">
        <v>135</v>
      </c>
      <c r="F327" s="8" t="s">
        <v>328</v>
      </c>
      <c r="G327" s="60">
        <v>0</v>
      </c>
      <c r="H327" s="118">
        <v>25857607</v>
      </c>
      <c r="I327" s="60">
        <f t="shared" si="14"/>
        <v>25857607</v>
      </c>
      <c r="J327" s="118">
        <v>-5905903</v>
      </c>
      <c r="K327" s="60">
        <f t="shared" si="14"/>
        <v>19951704</v>
      </c>
      <c r="L327" s="141">
        <v>-1711282</v>
      </c>
      <c r="M327" s="60">
        <f t="shared" si="15"/>
        <v>18240422</v>
      </c>
      <c r="N327" s="141">
        <v>-178202.42</v>
      </c>
      <c r="O327" s="60">
        <f t="shared" si="15"/>
        <v>18062219.58</v>
      </c>
      <c r="P327" s="141">
        <v>-6526.23</v>
      </c>
      <c r="Q327" s="60">
        <f t="shared" si="16"/>
        <v>18055693.349999998</v>
      </c>
    </row>
    <row r="328" spans="2:17" ht="31.5">
      <c r="B328" s="31" t="s">
        <v>324</v>
      </c>
      <c r="C328" s="6"/>
      <c r="D328" s="8" t="s">
        <v>133</v>
      </c>
      <c r="E328" s="8" t="s">
        <v>135</v>
      </c>
      <c r="F328" s="8" t="s">
        <v>329</v>
      </c>
      <c r="G328" s="60">
        <v>0</v>
      </c>
      <c r="H328" s="118">
        <v>100000</v>
      </c>
      <c r="I328" s="60">
        <f t="shared" si="14"/>
        <v>100000</v>
      </c>
      <c r="J328" s="118">
        <v>-100000</v>
      </c>
      <c r="K328" s="60">
        <f t="shared" si="14"/>
        <v>0</v>
      </c>
      <c r="L328" s="141"/>
      <c r="M328" s="60">
        <f t="shared" si="15"/>
        <v>0</v>
      </c>
      <c r="N328" s="141"/>
      <c r="O328" s="60">
        <f t="shared" si="15"/>
        <v>0</v>
      </c>
      <c r="P328" s="141"/>
      <c r="Q328" s="60">
        <f t="shared" si="16"/>
        <v>0</v>
      </c>
    </row>
    <row r="329" spans="2:17" ht="36.75" customHeight="1">
      <c r="B329" s="31" t="s">
        <v>79</v>
      </c>
      <c r="C329" s="8" t="s">
        <v>231</v>
      </c>
      <c r="D329" s="8" t="s">
        <v>133</v>
      </c>
      <c r="E329" s="8" t="s">
        <v>431</v>
      </c>
      <c r="F329" s="8"/>
      <c r="G329" s="60">
        <f>G330</f>
        <v>0</v>
      </c>
      <c r="H329" s="3">
        <v>0</v>
      </c>
      <c r="I329" s="60">
        <f>I330</f>
        <v>179004</v>
      </c>
      <c r="J329" s="3">
        <v>0</v>
      </c>
      <c r="K329" s="60">
        <f>K330</f>
        <v>179004</v>
      </c>
      <c r="L329" s="133"/>
      <c r="M329" s="60">
        <f>M330</f>
        <v>154004</v>
      </c>
      <c r="N329" s="133"/>
      <c r="O329" s="60">
        <f>O330</f>
        <v>154004</v>
      </c>
      <c r="P329" s="133"/>
      <c r="Q329" s="60">
        <f>Q330</f>
        <v>154004</v>
      </c>
    </row>
    <row r="330" spans="2:17" ht="31.5" customHeight="1">
      <c r="B330" s="31" t="s">
        <v>382</v>
      </c>
      <c r="C330" s="8" t="s">
        <v>231</v>
      </c>
      <c r="D330" s="8" t="s">
        <v>133</v>
      </c>
      <c r="E330" s="8" t="s">
        <v>431</v>
      </c>
      <c r="F330" s="8" t="s">
        <v>328</v>
      </c>
      <c r="G330" s="60">
        <v>0</v>
      </c>
      <c r="H330" s="3">
        <v>179004</v>
      </c>
      <c r="I330" s="60">
        <f>G330+H330</f>
        <v>179004</v>
      </c>
      <c r="J330" s="3">
        <v>0</v>
      </c>
      <c r="K330" s="60">
        <f>I330+J330</f>
        <v>179004</v>
      </c>
      <c r="L330" s="141">
        <v>-25000</v>
      </c>
      <c r="M330" s="60">
        <f>K330+L330</f>
        <v>154004</v>
      </c>
      <c r="N330" s="141">
        <v>0</v>
      </c>
      <c r="O330" s="60">
        <f>M330+N330</f>
        <v>154004</v>
      </c>
      <c r="P330" s="141"/>
      <c r="Q330" s="60">
        <f>O330+P330</f>
        <v>154004</v>
      </c>
    </row>
    <row r="331" spans="2:17" ht="30.75" customHeight="1">
      <c r="B331" s="31" t="s">
        <v>382</v>
      </c>
      <c r="C331" s="6"/>
      <c r="D331" s="44" t="s">
        <v>133</v>
      </c>
      <c r="E331" s="6" t="s">
        <v>256</v>
      </c>
      <c r="F331" s="6" t="s">
        <v>328</v>
      </c>
      <c r="G331" s="60">
        <v>0</v>
      </c>
      <c r="H331" s="3">
        <v>12302600</v>
      </c>
      <c r="I331" s="60">
        <f>G331+H331</f>
        <v>12302600</v>
      </c>
      <c r="J331" s="3">
        <v>0</v>
      </c>
      <c r="K331" s="60">
        <f>I331+J331</f>
        <v>12302600</v>
      </c>
      <c r="L331" s="141">
        <v>-1125201</v>
      </c>
      <c r="M331" s="60">
        <f>K331+L331</f>
        <v>11177399</v>
      </c>
      <c r="N331" s="141">
        <v>0</v>
      </c>
      <c r="O331" s="60">
        <f>M331+N331</f>
        <v>11177399</v>
      </c>
      <c r="P331" s="141"/>
      <c r="Q331" s="60">
        <f>O331+P331</f>
        <v>11177399</v>
      </c>
    </row>
    <row r="332" spans="2:17" ht="31.5">
      <c r="B332" s="96" t="s">
        <v>79</v>
      </c>
      <c r="C332" s="6"/>
      <c r="D332" s="101" t="s">
        <v>133</v>
      </c>
      <c r="E332" s="103" t="s">
        <v>492</v>
      </c>
      <c r="F332" s="6"/>
      <c r="G332" s="60"/>
      <c r="H332" s="3"/>
      <c r="I332" s="60"/>
      <c r="J332" s="3"/>
      <c r="K332" s="60"/>
      <c r="L332" s="141"/>
      <c r="M332" s="60">
        <f>M333</f>
        <v>10082209</v>
      </c>
      <c r="N332" s="141"/>
      <c r="O332" s="60">
        <f>O333</f>
        <v>10082209</v>
      </c>
      <c r="P332" s="141"/>
      <c r="Q332" s="60">
        <f>Q333</f>
        <v>10082209</v>
      </c>
    </row>
    <row r="333" spans="2:17" ht="63">
      <c r="B333" s="96" t="s">
        <v>491</v>
      </c>
      <c r="C333" s="6"/>
      <c r="D333" s="101" t="s">
        <v>133</v>
      </c>
      <c r="E333" s="103" t="s">
        <v>492</v>
      </c>
      <c r="F333" s="103" t="s">
        <v>350</v>
      </c>
      <c r="G333" s="60"/>
      <c r="H333" s="3"/>
      <c r="I333" s="60"/>
      <c r="J333" s="3"/>
      <c r="K333" s="60"/>
      <c r="L333" s="141">
        <v>10082209</v>
      </c>
      <c r="M333" s="60">
        <f>K333+L333</f>
        <v>10082209</v>
      </c>
      <c r="N333" s="141">
        <v>0</v>
      </c>
      <c r="O333" s="60">
        <f>M333+N333</f>
        <v>10082209</v>
      </c>
      <c r="P333" s="141"/>
      <c r="Q333" s="60">
        <f>O333+P333</f>
        <v>10082209</v>
      </c>
    </row>
    <row r="334" spans="2:17" ht="31.5">
      <c r="B334" s="12" t="s">
        <v>81</v>
      </c>
      <c r="C334" s="6"/>
      <c r="D334" s="44" t="s">
        <v>133</v>
      </c>
      <c r="E334" s="6" t="s">
        <v>82</v>
      </c>
      <c r="F334" s="6"/>
      <c r="G334" s="60" t="e">
        <f>#REF!+#REF!+G341+#REF!+#REF!</f>
        <v>#REF!</v>
      </c>
      <c r="H334" s="3"/>
      <c r="I334" s="60">
        <f>I341</f>
        <v>0</v>
      </c>
      <c r="J334" s="3"/>
      <c r="K334" s="60">
        <f>K341</f>
        <v>0</v>
      </c>
      <c r="L334" s="133"/>
      <c r="M334" s="60">
        <f>M341</f>
        <v>177000</v>
      </c>
      <c r="N334" s="133"/>
      <c r="O334" s="60">
        <f>O341</f>
        <v>177000</v>
      </c>
      <c r="P334" s="133"/>
      <c r="Q334" s="60">
        <f>Q335+Q338+Q341</f>
        <v>1872472</v>
      </c>
    </row>
    <row r="335" spans="2:17" s="188" customFormat="1" ht="63">
      <c r="B335" s="183" t="s">
        <v>586</v>
      </c>
      <c r="C335" s="184"/>
      <c r="D335" s="184" t="s">
        <v>133</v>
      </c>
      <c r="E335" s="184" t="s">
        <v>584</v>
      </c>
      <c r="F335" s="184"/>
      <c r="G335" s="185"/>
      <c r="H335" s="191"/>
      <c r="I335" s="185"/>
      <c r="J335" s="191"/>
      <c r="K335" s="185"/>
      <c r="L335" s="192"/>
      <c r="M335" s="185"/>
      <c r="N335" s="192"/>
      <c r="O335" s="185"/>
      <c r="P335" s="192"/>
      <c r="Q335" s="185">
        <f>Q336+Q337</f>
        <v>1180000</v>
      </c>
    </row>
    <row r="336" spans="2:17" s="188" customFormat="1" ht="15.75">
      <c r="B336" s="193" t="s">
        <v>320</v>
      </c>
      <c r="C336" s="184"/>
      <c r="D336" s="184" t="s">
        <v>133</v>
      </c>
      <c r="E336" s="184" t="s">
        <v>584</v>
      </c>
      <c r="F336" s="184" t="s">
        <v>325</v>
      </c>
      <c r="G336" s="185"/>
      <c r="H336" s="191"/>
      <c r="I336" s="185"/>
      <c r="J336" s="191"/>
      <c r="K336" s="185"/>
      <c r="L336" s="192"/>
      <c r="M336" s="185"/>
      <c r="N336" s="192"/>
      <c r="O336" s="185"/>
      <c r="P336" s="192">
        <f>1180000-133410</f>
        <v>1046590</v>
      </c>
      <c r="Q336" s="185">
        <f>O336+P336</f>
        <v>1046590</v>
      </c>
    </row>
    <row r="337" spans="2:17" s="188" customFormat="1" ht="31.5">
      <c r="B337" s="96" t="s">
        <v>351</v>
      </c>
      <c r="C337" s="184"/>
      <c r="D337" s="184" t="s">
        <v>133</v>
      </c>
      <c r="E337" s="184" t="s">
        <v>584</v>
      </c>
      <c r="F337" s="184" t="s">
        <v>352</v>
      </c>
      <c r="G337" s="185"/>
      <c r="H337" s="191"/>
      <c r="I337" s="185"/>
      <c r="J337" s="191"/>
      <c r="K337" s="185"/>
      <c r="L337" s="192"/>
      <c r="M337" s="185"/>
      <c r="N337" s="192"/>
      <c r="O337" s="185"/>
      <c r="P337" s="192">
        <v>133410</v>
      </c>
      <c r="Q337" s="185">
        <f>O337+P337</f>
        <v>133410</v>
      </c>
    </row>
    <row r="338" spans="2:17" s="188" customFormat="1" ht="81" customHeight="1">
      <c r="B338" s="183" t="s">
        <v>587</v>
      </c>
      <c r="C338" s="184"/>
      <c r="D338" s="184" t="s">
        <v>133</v>
      </c>
      <c r="E338" s="184" t="s">
        <v>585</v>
      </c>
      <c r="F338" s="184"/>
      <c r="G338" s="185"/>
      <c r="H338" s="191"/>
      <c r="I338" s="185"/>
      <c r="J338" s="191"/>
      <c r="K338" s="185"/>
      <c r="L338" s="192"/>
      <c r="M338" s="185"/>
      <c r="N338" s="192"/>
      <c r="O338" s="185"/>
      <c r="P338" s="192"/>
      <c r="Q338" s="185">
        <f>Q339+Q340</f>
        <v>515472</v>
      </c>
    </row>
    <row r="339" spans="2:17" s="188" customFormat="1" ht="15.75">
      <c r="B339" s="193" t="s">
        <v>320</v>
      </c>
      <c r="C339" s="184"/>
      <c r="D339" s="184" t="s">
        <v>133</v>
      </c>
      <c r="E339" s="184" t="s">
        <v>585</v>
      </c>
      <c r="F339" s="184" t="s">
        <v>325</v>
      </c>
      <c r="G339" s="185"/>
      <c r="H339" s="191"/>
      <c r="I339" s="185"/>
      <c r="J339" s="191"/>
      <c r="K339" s="185"/>
      <c r="L339" s="192"/>
      <c r="M339" s="185"/>
      <c r="N339" s="192"/>
      <c r="O339" s="185"/>
      <c r="P339" s="192">
        <f>515472-32494</f>
        <v>482978</v>
      </c>
      <c r="Q339" s="185">
        <f>O339+P339</f>
        <v>482978</v>
      </c>
    </row>
    <row r="340" spans="2:17" s="188" customFormat="1" ht="31.5">
      <c r="B340" s="96" t="s">
        <v>351</v>
      </c>
      <c r="C340" s="184"/>
      <c r="D340" s="184" t="s">
        <v>133</v>
      </c>
      <c r="E340" s="184" t="s">
        <v>585</v>
      </c>
      <c r="F340" s="184" t="s">
        <v>352</v>
      </c>
      <c r="G340" s="185"/>
      <c r="H340" s="191"/>
      <c r="I340" s="185"/>
      <c r="J340" s="191"/>
      <c r="K340" s="185"/>
      <c r="L340" s="192"/>
      <c r="M340" s="185"/>
      <c r="N340" s="192"/>
      <c r="O340" s="185"/>
      <c r="P340" s="192">
        <v>32494</v>
      </c>
      <c r="Q340" s="185">
        <f>O340+P340</f>
        <v>32494</v>
      </c>
    </row>
    <row r="341" spans="2:17" ht="78.75">
      <c r="B341" s="12" t="s">
        <v>225</v>
      </c>
      <c r="C341" s="6"/>
      <c r="D341" s="44" t="s">
        <v>133</v>
      </c>
      <c r="E341" s="6" t="s">
        <v>330</v>
      </c>
      <c r="F341" s="6"/>
      <c r="G341" s="60">
        <f>G342+G343</f>
        <v>0</v>
      </c>
      <c r="H341" s="3"/>
      <c r="I341" s="60">
        <f>I342+I343</f>
        <v>0</v>
      </c>
      <c r="J341" s="3"/>
      <c r="K341" s="60">
        <f>K342+K343</f>
        <v>0</v>
      </c>
      <c r="L341" s="133"/>
      <c r="M341" s="60">
        <f>M342+M343</f>
        <v>177000</v>
      </c>
      <c r="N341" s="133"/>
      <c r="O341" s="60">
        <f>O342+O343</f>
        <v>177000</v>
      </c>
      <c r="P341" s="133"/>
      <c r="Q341" s="60">
        <f>Q342+Q343</f>
        <v>177000</v>
      </c>
    </row>
    <row r="342" spans="2:17" ht="15.75">
      <c r="B342" s="31" t="s">
        <v>320</v>
      </c>
      <c r="C342" s="6"/>
      <c r="D342" s="8" t="s">
        <v>133</v>
      </c>
      <c r="E342" s="8" t="s">
        <v>330</v>
      </c>
      <c r="F342" s="8" t="s">
        <v>325</v>
      </c>
      <c r="G342" s="86">
        <v>0</v>
      </c>
      <c r="H342" s="3"/>
      <c r="I342" s="86">
        <f>G342+H342</f>
        <v>0</v>
      </c>
      <c r="J342" s="3"/>
      <c r="K342" s="86">
        <f>I342+J342</f>
        <v>0</v>
      </c>
      <c r="L342" s="141">
        <v>102773</v>
      </c>
      <c r="M342" s="86">
        <f>K342+L342</f>
        <v>102773</v>
      </c>
      <c r="N342" s="141">
        <v>0</v>
      </c>
      <c r="O342" s="86">
        <f>M342+N342</f>
        <v>102773</v>
      </c>
      <c r="P342" s="141"/>
      <c r="Q342" s="86">
        <f>O342+P342</f>
        <v>102773</v>
      </c>
    </row>
    <row r="343" spans="2:17" ht="31.5">
      <c r="B343" s="31" t="s">
        <v>382</v>
      </c>
      <c r="C343" s="6"/>
      <c r="D343" s="8" t="s">
        <v>133</v>
      </c>
      <c r="E343" s="8" t="s">
        <v>330</v>
      </c>
      <c r="F343" s="8" t="s">
        <v>328</v>
      </c>
      <c r="G343" s="86">
        <v>0</v>
      </c>
      <c r="H343" s="3"/>
      <c r="I343" s="86">
        <f>G343+H343</f>
        <v>0</v>
      </c>
      <c r="J343" s="3"/>
      <c r="K343" s="86">
        <f>I343+J343</f>
        <v>0</v>
      </c>
      <c r="L343" s="141">
        <v>74227</v>
      </c>
      <c r="M343" s="86">
        <f>K343+L343</f>
        <v>74227</v>
      </c>
      <c r="N343" s="141">
        <v>0</v>
      </c>
      <c r="O343" s="86">
        <f>M343+N343</f>
        <v>74227</v>
      </c>
      <c r="P343" s="141"/>
      <c r="Q343" s="86">
        <f>O343+P343</f>
        <v>74227</v>
      </c>
    </row>
    <row r="344" spans="2:17" ht="47.25">
      <c r="B344" s="130" t="s">
        <v>568</v>
      </c>
      <c r="C344" s="6"/>
      <c r="D344" s="97" t="s">
        <v>133</v>
      </c>
      <c r="E344" s="97" t="s">
        <v>493</v>
      </c>
      <c r="F344" s="97"/>
      <c r="G344" s="79"/>
      <c r="H344" s="97"/>
      <c r="I344" s="79"/>
      <c r="J344" s="97"/>
      <c r="K344" s="79"/>
      <c r="L344" s="153"/>
      <c r="M344" s="79">
        <f>M345+M346</f>
        <v>455000</v>
      </c>
      <c r="N344" s="153"/>
      <c r="O344" s="79">
        <f>O345+O346</f>
        <v>455000</v>
      </c>
      <c r="P344" s="153"/>
      <c r="Q344" s="79">
        <f>Q345+Q346</f>
        <v>455000</v>
      </c>
    </row>
    <row r="345" spans="2:17" ht="31.5">
      <c r="B345" s="96" t="s">
        <v>382</v>
      </c>
      <c r="C345" s="6"/>
      <c r="D345" s="97" t="s">
        <v>133</v>
      </c>
      <c r="E345" s="97" t="s">
        <v>493</v>
      </c>
      <c r="F345" s="97" t="s">
        <v>328</v>
      </c>
      <c r="G345" s="79"/>
      <c r="H345" s="97"/>
      <c r="I345" s="79"/>
      <c r="J345" s="97"/>
      <c r="K345" s="79"/>
      <c r="L345" s="153">
        <v>363716</v>
      </c>
      <c r="M345" s="79">
        <f>K345+L345</f>
        <v>363716</v>
      </c>
      <c r="N345" s="153">
        <v>0</v>
      </c>
      <c r="O345" s="79">
        <f>M345+N345</f>
        <v>363716</v>
      </c>
      <c r="P345" s="153"/>
      <c r="Q345" s="79">
        <f>O345+P345</f>
        <v>363716</v>
      </c>
    </row>
    <row r="346" spans="2:17" ht="31.5">
      <c r="B346" s="96" t="s">
        <v>351</v>
      </c>
      <c r="C346" s="6"/>
      <c r="D346" s="97" t="s">
        <v>133</v>
      </c>
      <c r="E346" s="97" t="s">
        <v>493</v>
      </c>
      <c r="F346" s="97" t="s">
        <v>352</v>
      </c>
      <c r="G346" s="79"/>
      <c r="H346" s="97"/>
      <c r="I346" s="79"/>
      <c r="J346" s="97"/>
      <c r="K346" s="79"/>
      <c r="L346" s="153">
        <v>91284</v>
      </c>
      <c r="M346" s="79">
        <f>K346+L346</f>
        <v>91284</v>
      </c>
      <c r="N346" s="153">
        <v>0</v>
      </c>
      <c r="O346" s="79">
        <f>M346+N346</f>
        <v>91284</v>
      </c>
      <c r="P346" s="153"/>
      <c r="Q346" s="79">
        <f>O346+P346</f>
        <v>91284</v>
      </c>
    </row>
    <row r="347" spans="2:17" ht="31.5">
      <c r="B347" s="96" t="s">
        <v>555</v>
      </c>
      <c r="C347" s="6"/>
      <c r="D347" s="97" t="s">
        <v>133</v>
      </c>
      <c r="E347" s="97" t="s">
        <v>556</v>
      </c>
      <c r="F347" s="97"/>
      <c r="G347" s="79"/>
      <c r="H347" s="97"/>
      <c r="I347" s="79"/>
      <c r="J347" s="97"/>
      <c r="K347" s="79"/>
      <c r="L347" s="153"/>
      <c r="M347" s="79"/>
      <c r="N347" s="153"/>
      <c r="O347" s="79"/>
      <c r="P347" s="153"/>
      <c r="Q347" s="79">
        <f>Q348+Q349</f>
        <v>51300000</v>
      </c>
    </row>
    <row r="348" spans="2:17" ht="47.25">
      <c r="B348" s="96" t="s">
        <v>384</v>
      </c>
      <c r="C348" s="6"/>
      <c r="D348" s="97" t="s">
        <v>133</v>
      </c>
      <c r="E348" s="97" t="s">
        <v>556</v>
      </c>
      <c r="F348" s="97" t="s">
        <v>383</v>
      </c>
      <c r="G348" s="79"/>
      <c r="H348" s="97"/>
      <c r="I348" s="79"/>
      <c r="J348" s="97"/>
      <c r="K348" s="79"/>
      <c r="L348" s="153"/>
      <c r="M348" s="79"/>
      <c r="N348" s="153"/>
      <c r="O348" s="79"/>
      <c r="P348" s="153">
        <v>31550000</v>
      </c>
      <c r="Q348" s="79">
        <f>O348+P348</f>
        <v>31550000</v>
      </c>
    </row>
    <row r="349" spans="2:17" ht="47.25">
      <c r="B349" s="96" t="s">
        <v>550</v>
      </c>
      <c r="C349" s="6"/>
      <c r="D349" s="97" t="s">
        <v>133</v>
      </c>
      <c r="E349" s="97" t="s">
        <v>556</v>
      </c>
      <c r="F349" s="97" t="s">
        <v>544</v>
      </c>
      <c r="G349" s="79"/>
      <c r="H349" s="97"/>
      <c r="I349" s="79"/>
      <c r="J349" s="97"/>
      <c r="K349" s="79"/>
      <c r="L349" s="153"/>
      <c r="M349" s="79"/>
      <c r="N349" s="153"/>
      <c r="O349" s="79"/>
      <c r="P349" s="153">
        <v>19750000</v>
      </c>
      <c r="Q349" s="79">
        <f>O349+P349</f>
        <v>19750000</v>
      </c>
    </row>
    <row r="350" spans="2:17" ht="15.75">
      <c r="B350" s="12" t="s">
        <v>76</v>
      </c>
      <c r="C350" s="6"/>
      <c r="D350" s="44" t="s">
        <v>77</v>
      </c>
      <c r="E350" s="6"/>
      <c r="F350" s="6"/>
      <c r="G350" s="60" t="e">
        <f>SUM(G353+#REF!+G364+G379+#REF!+#REF!+#REF!+G360)</f>
        <v>#REF!</v>
      </c>
      <c r="H350" s="60"/>
      <c r="I350" s="60">
        <f>SUM(I353+I364+I379+I360)</f>
        <v>346234569</v>
      </c>
      <c r="J350" s="60">
        <v>0</v>
      </c>
      <c r="K350" s="60">
        <f>SUM(K353+K364+K379+K360)</f>
        <v>329938585</v>
      </c>
      <c r="L350" s="142"/>
      <c r="M350" s="60">
        <f>SUM(M353+M364+M379+M360+M411+M414)</f>
        <v>336103185</v>
      </c>
      <c r="N350" s="142"/>
      <c r="O350" s="60">
        <f>SUM(O353+O364+O379+O360+O411+O414+O374+O362)</f>
        <v>350753117.61</v>
      </c>
      <c r="P350" s="142"/>
      <c r="Q350" s="60">
        <f>SUM(Q351+Q353+Q364+Q379+Q360+Q411+Q414+Q374+Q362)</f>
        <v>366941171.84000003</v>
      </c>
    </row>
    <row r="351" spans="2:17" s="188" customFormat="1" ht="47.25">
      <c r="B351" s="183" t="s">
        <v>582</v>
      </c>
      <c r="C351" s="184"/>
      <c r="D351" s="184" t="s">
        <v>77</v>
      </c>
      <c r="E351" s="184" t="s">
        <v>583</v>
      </c>
      <c r="F351" s="184"/>
      <c r="G351" s="185"/>
      <c r="H351" s="185"/>
      <c r="I351" s="185"/>
      <c r="J351" s="185"/>
      <c r="K351" s="185"/>
      <c r="L351" s="186"/>
      <c r="M351" s="185"/>
      <c r="N351" s="186"/>
      <c r="O351" s="185"/>
      <c r="P351" s="186"/>
      <c r="Q351" s="185">
        <f>Q352</f>
        <v>738000</v>
      </c>
    </row>
    <row r="352" spans="2:17" s="188" customFormat="1" ht="47.25">
      <c r="B352" s="31" t="s">
        <v>376</v>
      </c>
      <c r="C352" s="184"/>
      <c r="D352" s="184" t="s">
        <v>77</v>
      </c>
      <c r="E352" s="184" t="s">
        <v>583</v>
      </c>
      <c r="F352" s="184" t="s">
        <v>331</v>
      </c>
      <c r="G352" s="185"/>
      <c r="H352" s="185"/>
      <c r="I352" s="185"/>
      <c r="J352" s="185"/>
      <c r="K352" s="185"/>
      <c r="L352" s="186"/>
      <c r="M352" s="185"/>
      <c r="N352" s="186"/>
      <c r="O352" s="185"/>
      <c r="P352" s="186">
        <v>738000</v>
      </c>
      <c r="Q352" s="185">
        <f>O352+P352</f>
        <v>738000</v>
      </c>
    </row>
    <row r="353" spans="2:17" ht="31.5">
      <c r="B353" s="12" t="s">
        <v>78</v>
      </c>
      <c r="C353" s="6"/>
      <c r="D353" s="44" t="s">
        <v>77</v>
      </c>
      <c r="E353" s="6">
        <v>4210000</v>
      </c>
      <c r="F353" s="6"/>
      <c r="G353" s="60">
        <f>G354+G355+G356+G357+G358+G359</f>
        <v>0</v>
      </c>
      <c r="H353" s="3"/>
      <c r="I353" s="60">
        <f>I354+I355+I356+I357+I358+I359</f>
        <v>52306838</v>
      </c>
      <c r="J353" s="3"/>
      <c r="K353" s="60">
        <f>K354+K355+K356+K357+K358+K359</f>
        <v>34736648</v>
      </c>
      <c r="L353" s="133"/>
      <c r="M353" s="60">
        <f>M354+M355+M356+M357+M358+M359</f>
        <v>34593648</v>
      </c>
      <c r="N353" s="133"/>
      <c r="O353" s="60">
        <f>O354+O355+O356+O357+O358+O359</f>
        <v>34516916.61</v>
      </c>
      <c r="P353" s="133"/>
      <c r="Q353" s="60">
        <f>Q354+Q355+Q356+Q357+Q358+Q359</f>
        <v>34523442.84</v>
      </c>
    </row>
    <row r="354" spans="2:17" ht="15.75">
      <c r="B354" s="31" t="s">
        <v>320</v>
      </c>
      <c r="C354" s="6"/>
      <c r="D354" s="8" t="s">
        <v>77</v>
      </c>
      <c r="E354" s="8" t="s">
        <v>333</v>
      </c>
      <c r="F354" s="8" t="s">
        <v>325</v>
      </c>
      <c r="G354" s="86">
        <v>0</v>
      </c>
      <c r="H354" s="118">
        <v>1474467</v>
      </c>
      <c r="I354" s="86">
        <f aca="true" t="shared" si="17" ref="I354:K359">G354+H354</f>
        <v>1474467</v>
      </c>
      <c r="J354" s="118">
        <v>0</v>
      </c>
      <c r="K354" s="86">
        <f t="shared" si="17"/>
        <v>1474467</v>
      </c>
      <c r="L354" s="141"/>
      <c r="M354" s="86">
        <f aca="true" t="shared" si="18" ref="M354:O359">K354+L354</f>
        <v>1474467</v>
      </c>
      <c r="N354" s="141">
        <v>-14379</v>
      </c>
      <c r="O354" s="86">
        <f t="shared" si="18"/>
        <v>1460088</v>
      </c>
      <c r="P354" s="141"/>
      <c r="Q354" s="86">
        <f aca="true" t="shared" si="19" ref="Q354:Q359">O354+P354</f>
        <v>1460088</v>
      </c>
    </row>
    <row r="355" spans="2:17" ht="31.5">
      <c r="B355" s="31" t="s">
        <v>321</v>
      </c>
      <c r="C355" s="6"/>
      <c r="D355" s="8" t="s">
        <v>77</v>
      </c>
      <c r="E355" s="8" t="s">
        <v>333</v>
      </c>
      <c r="F355" s="8" t="s">
        <v>326</v>
      </c>
      <c r="G355" s="86">
        <v>0</v>
      </c>
      <c r="H355" s="118">
        <v>49150</v>
      </c>
      <c r="I355" s="86">
        <f t="shared" si="17"/>
        <v>49150</v>
      </c>
      <c r="J355" s="118">
        <v>0</v>
      </c>
      <c r="K355" s="86">
        <f t="shared" si="17"/>
        <v>49150</v>
      </c>
      <c r="L355" s="141">
        <v>-5000</v>
      </c>
      <c r="M355" s="86">
        <f t="shared" si="18"/>
        <v>44150</v>
      </c>
      <c r="N355" s="141">
        <f>-10242.5-1500</f>
        <v>-11742.5</v>
      </c>
      <c r="O355" s="86">
        <f t="shared" si="18"/>
        <v>32407.5</v>
      </c>
      <c r="P355" s="141"/>
      <c r="Q355" s="86">
        <f t="shared" si="19"/>
        <v>32407.5</v>
      </c>
    </row>
    <row r="356" spans="2:17" ht="47.25">
      <c r="B356" s="31" t="s">
        <v>322</v>
      </c>
      <c r="C356" s="6"/>
      <c r="D356" s="8" t="s">
        <v>77</v>
      </c>
      <c r="E356" s="8" t="s">
        <v>333</v>
      </c>
      <c r="F356" s="8" t="s">
        <v>327</v>
      </c>
      <c r="G356" s="86">
        <v>0</v>
      </c>
      <c r="H356" s="118">
        <v>1284127</v>
      </c>
      <c r="I356" s="86">
        <f t="shared" si="17"/>
        <v>1284127</v>
      </c>
      <c r="J356" s="118">
        <v>0</v>
      </c>
      <c r="K356" s="86">
        <f t="shared" si="17"/>
        <v>1284127</v>
      </c>
      <c r="L356" s="141">
        <f>-91000</f>
        <v>-91000</v>
      </c>
      <c r="M356" s="86">
        <f t="shared" si="18"/>
        <v>1193127</v>
      </c>
      <c r="N356" s="141">
        <f>-31347.5-42795.53</f>
        <v>-74143.03</v>
      </c>
      <c r="O356" s="86">
        <f t="shared" si="18"/>
        <v>1118983.97</v>
      </c>
      <c r="P356" s="141">
        <v>-39400</v>
      </c>
      <c r="Q356" s="86">
        <f t="shared" si="19"/>
        <v>1079583.97</v>
      </c>
    </row>
    <row r="357" spans="2:17" ht="47.25">
      <c r="B357" s="31" t="s">
        <v>376</v>
      </c>
      <c r="C357" s="6"/>
      <c r="D357" s="8" t="s">
        <v>77</v>
      </c>
      <c r="E357" s="8" t="s">
        <v>333</v>
      </c>
      <c r="F357" s="8" t="s">
        <v>331</v>
      </c>
      <c r="G357" s="86">
        <v>0</v>
      </c>
      <c r="H357" s="118">
        <v>252876</v>
      </c>
      <c r="I357" s="86">
        <f t="shared" si="17"/>
        <v>252876</v>
      </c>
      <c r="J357" s="118">
        <v>0</v>
      </c>
      <c r="K357" s="86">
        <f t="shared" si="17"/>
        <v>252876</v>
      </c>
      <c r="L357" s="141"/>
      <c r="M357" s="86">
        <f t="shared" si="18"/>
        <v>252876</v>
      </c>
      <c r="N357" s="141"/>
      <c r="O357" s="86">
        <f t="shared" si="18"/>
        <v>252876</v>
      </c>
      <c r="P357" s="141"/>
      <c r="Q357" s="86">
        <f t="shared" si="19"/>
        <v>252876</v>
      </c>
    </row>
    <row r="358" spans="2:17" ht="31.5">
      <c r="B358" s="31" t="s">
        <v>382</v>
      </c>
      <c r="C358" s="6"/>
      <c r="D358" s="8" t="s">
        <v>77</v>
      </c>
      <c r="E358" s="8" t="s">
        <v>333</v>
      </c>
      <c r="F358" s="8" t="s">
        <v>328</v>
      </c>
      <c r="G358" s="86">
        <v>0</v>
      </c>
      <c r="H358" s="118">
        <v>48946218</v>
      </c>
      <c r="I358" s="86">
        <f t="shared" si="17"/>
        <v>48946218</v>
      </c>
      <c r="J358" s="118">
        <v>-17270190</v>
      </c>
      <c r="K358" s="86">
        <f t="shared" si="17"/>
        <v>31676028</v>
      </c>
      <c r="L358" s="141">
        <v>-47000</v>
      </c>
      <c r="M358" s="86">
        <f t="shared" si="18"/>
        <v>31629028</v>
      </c>
      <c r="N358" s="141">
        <v>21567.78</v>
      </c>
      <c r="O358" s="86">
        <f t="shared" si="18"/>
        <v>31650595.78</v>
      </c>
      <c r="P358" s="141">
        <f>43726.23-600</f>
        <v>43126.23</v>
      </c>
      <c r="Q358" s="86">
        <f t="shared" si="19"/>
        <v>31693722.01</v>
      </c>
    </row>
    <row r="359" spans="2:17" ht="31.5">
      <c r="B359" s="31" t="s">
        <v>324</v>
      </c>
      <c r="C359" s="6"/>
      <c r="D359" s="8" t="s">
        <v>77</v>
      </c>
      <c r="E359" s="8" t="s">
        <v>333</v>
      </c>
      <c r="F359" s="8" t="s">
        <v>329</v>
      </c>
      <c r="G359" s="86">
        <v>0</v>
      </c>
      <c r="H359" s="118">
        <v>300000</v>
      </c>
      <c r="I359" s="86">
        <f t="shared" si="17"/>
        <v>300000</v>
      </c>
      <c r="J359" s="118">
        <v>-300000</v>
      </c>
      <c r="K359" s="86">
        <f t="shared" si="17"/>
        <v>0</v>
      </c>
      <c r="L359" s="141"/>
      <c r="M359" s="86">
        <f t="shared" si="18"/>
        <v>0</v>
      </c>
      <c r="N359" s="141">
        <v>1965.36</v>
      </c>
      <c r="O359" s="86">
        <f t="shared" si="18"/>
        <v>1965.36</v>
      </c>
      <c r="P359" s="141">
        <f>2200+600</f>
        <v>2800</v>
      </c>
      <c r="Q359" s="86">
        <f t="shared" si="19"/>
        <v>4765.36</v>
      </c>
    </row>
    <row r="360" spans="2:17" ht="20.25" customHeight="1">
      <c r="B360" s="31" t="s">
        <v>432</v>
      </c>
      <c r="C360" s="8" t="s">
        <v>231</v>
      </c>
      <c r="D360" s="8" t="s">
        <v>77</v>
      </c>
      <c r="E360" s="8" t="s">
        <v>433</v>
      </c>
      <c r="F360" s="8"/>
      <c r="G360" s="60">
        <f>G361</f>
        <v>0</v>
      </c>
      <c r="H360" s="118"/>
      <c r="I360" s="60">
        <f>I361</f>
        <v>2188296</v>
      </c>
      <c r="J360" s="118">
        <v>0</v>
      </c>
      <c r="K360" s="60">
        <f>K361</f>
        <v>2188296</v>
      </c>
      <c r="L360" s="141"/>
      <c r="M360" s="60">
        <f>M361</f>
        <v>2188296</v>
      </c>
      <c r="N360" s="141"/>
      <c r="O360" s="60">
        <f>O361</f>
        <v>2168296</v>
      </c>
      <c r="P360" s="141"/>
      <c r="Q360" s="60">
        <f>Q361</f>
        <v>2168296</v>
      </c>
    </row>
    <row r="361" spans="2:17" ht="47.25">
      <c r="B361" s="31" t="s">
        <v>382</v>
      </c>
      <c r="C361" s="8" t="s">
        <v>231</v>
      </c>
      <c r="D361" s="8" t="s">
        <v>77</v>
      </c>
      <c r="E361" s="8" t="s">
        <v>433</v>
      </c>
      <c r="F361" s="8" t="s">
        <v>328</v>
      </c>
      <c r="G361" s="60">
        <v>0</v>
      </c>
      <c r="H361" s="118">
        <v>2188296</v>
      </c>
      <c r="I361" s="60">
        <f>G361+H361</f>
        <v>2188296</v>
      </c>
      <c r="J361" s="118">
        <v>0</v>
      </c>
      <c r="K361" s="60">
        <f>I361+J361</f>
        <v>2188296</v>
      </c>
      <c r="L361" s="141"/>
      <c r="M361" s="60">
        <f>K361+L361</f>
        <v>2188296</v>
      </c>
      <c r="N361" s="141">
        <v>-20000</v>
      </c>
      <c r="O361" s="60">
        <f>M361+N361</f>
        <v>2168296</v>
      </c>
      <c r="P361" s="141"/>
      <c r="Q361" s="60">
        <f>O361+P361</f>
        <v>2168296</v>
      </c>
    </row>
    <row r="362" spans="2:17" ht="31.5">
      <c r="B362" s="96" t="s">
        <v>79</v>
      </c>
      <c r="C362" s="8"/>
      <c r="D362" s="97" t="s">
        <v>77</v>
      </c>
      <c r="E362" s="97" t="s">
        <v>542</v>
      </c>
      <c r="F362" s="8"/>
      <c r="G362" s="60"/>
      <c r="H362" s="118"/>
      <c r="I362" s="60"/>
      <c r="J362" s="118"/>
      <c r="K362" s="60"/>
      <c r="L362" s="141"/>
      <c r="M362" s="60"/>
      <c r="N362" s="141"/>
      <c r="O362" s="60">
        <f>O363</f>
        <v>604058</v>
      </c>
      <c r="P362" s="141"/>
      <c r="Q362" s="60">
        <f>Q363</f>
        <v>604058</v>
      </c>
    </row>
    <row r="363" spans="2:17" ht="63">
      <c r="B363" s="96" t="s">
        <v>546</v>
      </c>
      <c r="C363" s="8"/>
      <c r="D363" s="97" t="s">
        <v>77</v>
      </c>
      <c r="E363" s="97" t="s">
        <v>542</v>
      </c>
      <c r="F363" s="97" t="s">
        <v>545</v>
      </c>
      <c r="G363" s="60"/>
      <c r="H363" s="118"/>
      <c r="I363" s="60"/>
      <c r="J363" s="118"/>
      <c r="K363" s="60"/>
      <c r="L363" s="141"/>
      <c r="M363" s="60"/>
      <c r="N363" s="141">
        <v>604058</v>
      </c>
      <c r="O363" s="60">
        <f>M363+N363</f>
        <v>604058</v>
      </c>
      <c r="P363" s="141"/>
      <c r="Q363" s="60">
        <f>O363+P363</f>
        <v>604058</v>
      </c>
    </row>
    <row r="364" spans="2:17" ht="15.75">
      <c r="B364" s="12" t="s">
        <v>80</v>
      </c>
      <c r="C364" s="6"/>
      <c r="D364" s="44" t="s">
        <v>77</v>
      </c>
      <c r="E364" s="6">
        <v>4230000</v>
      </c>
      <c r="F364" s="6"/>
      <c r="G364" s="60">
        <f>G365+G366+G367+G368+G370+G371+G369</f>
        <v>0</v>
      </c>
      <c r="H364" s="118"/>
      <c r="I364" s="60">
        <f>I365+I366+I367+I368+I370+I371+I369</f>
        <v>21865435</v>
      </c>
      <c r="J364" s="118"/>
      <c r="K364" s="60">
        <f>K365+K366+K367+K368+K370+K371+K369</f>
        <v>23139641</v>
      </c>
      <c r="L364" s="141"/>
      <c r="M364" s="60">
        <f>M365+M366+M367+M368+M370+M371+M369</f>
        <v>23113241</v>
      </c>
      <c r="N364" s="141"/>
      <c r="O364" s="60">
        <f>O365+O366+O367+O368+O370+O371+O369</f>
        <v>22969647</v>
      </c>
      <c r="P364" s="141"/>
      <c r="Q364" s="60">
        <f>Q365+Q366+Q367+Q368+Q370+Q371+Q369</f>
        <v>22969647</v>
      </c>
    </row>
    <row r="365" spans="2:17" ht="20.25" customHeight="1">
      <c r="B365" s="31" t="s">
        <v>320</v>
      </c>
      <c r="C365" s="6"/>
      <c r="D365" s="8" t="s">
        <v>77</v>
      </c>
      <c r="E365" s="8" t="s">
        <v>122</v>
      </c>
      <c r="F365" s="8" t="s">
        <v>325</v>
      </c>
      <c r="G365" s="86">
        <v>0</v>
      </c>
      <c r="H365" s="119">
        <f>14730288+4937942</f>
        <v>19668230</v>
      </c>
      <c r="I365" s="86">
        <f aca="true" t="shared" si="20" ref="I365:K370">G365+H365</f>
        <v>19668230</v>
      </c>
      <c r="J365" s="119">
        <v>1734000</v>
      </c>
      <c r="K365" s="86">
        <f t="shared" si="20"/>
        <v>21402230</v>
      </c>
      <c r="L365" s="143"/>
      <c r="M365" s="86">
        <f aca="true" t="shared" si="21" ref="M365:O370">K365+L365</f>
        <v>21402230</v>
      </c>
      <c r="N365" s="143">
        <v>-89394</v>
      </c>
      <c r="O365" s="86">
        <f t="shared" si="21"/>
        <v>21312836</v>
      </c>
      <c r="P365" s="143"/>
      <c r="Q365" s="86">
        <f aca="true" t="shared" si="22" ref="Q365:Q370">O365+P365</f>
        <v>21312836</v>
      </c>
    </row>
    <row r="366" spans="2:17" ht="31.5">
      <c r="B366" s="31" t="s">
        <v>321</v>
      </c>
      <c r="C366" s="6"/>
      <c r="D366" s="8" t="s">
        <v>77</v>
      </c>
      <c r="E366" s="8" t="s">
        <v>122</v>
      </c>
      <c r="F366" s="8" t="s">
        <v>326</v>
      </c>
      <c r="G366" s="86">
        <v>0</v>
      </c>
      <c r="H366" s="119">
        <f>45800+29332</f>
        <v>75132</v>
      </c>
      <c r="I366" s="86">
        <f t="shared" si="20"/>
        <v>75132</v>
      </c>
      <c r="J366" s="119"/>
      <c r="K366" s="86">
        <f t="shared" si="20"/>
        <v>75132</v>
      </c>
      <c r="L366" s="143"/>
      <c r="M366" s="86">
        <f t="shared" si="21"/>
        <v>75132</v>
      </c>
      <c r="N366" s="143"/>
      <c r="O366" s="86">
        <f t="shared" si="21"/>
        <v>75132</v>
      </c>
      <c r="P366" s="143"/>
      <c r="Q366" s="86">
        <f t="shared" si="22"/>
        <v>75132</v>
      </c>
    </row>
    <row r="367" spans="2:17" ht="47.25">
      <c r="B367" s="31" t="s">
        <v>322</v>
      </c>
      <c r="C367" s="6"/>
      <c r="D367" s="8" t="s">
        <v>77</v>
      </c>
      <c r="E367" s="8" t="s">
        <v>122</v>
      </c>
      <c r="F367" s="8" t="s">
        <v>327</v>
      </c>
      <c r="G367" s="86">
        <v>0</v>
      </c>
      <c r="H367" s="119">
        <f>126639+35369</f>
        <v>162008</v>
      </c>
      <c r="I367" s="86">
        <f t="shared" si="20"/>
        <v>162008</v>
      </c>
      <c r="J367" s="119"/>
      <c r="K367" s="86">
        <f t="shared" si="20"/>
        <v>162008</v>
      </c>
      <c r="L367" s="143"/>
      <c r="M367" s="86">
        <f t="shared" si="21"/>
        <v>162008</v>
      </c>
      <c r="N367" s="143"/>
      <c r="O367" s="86">
        <f t="shared" si="21"/>
        <v>162008</v>
      </c>
      <c r="P367" s="143"/>
      <c r="Q367" s="86">
        <f t="shared" si="22"/>
        <v>162008</v>
      </c>
    </row>
    <row r="368" spans="2:17" ht="31.5">
      <c r="B368" s="31" t="s">
        <v>382</v>
      </c>
      <c r="C368" s="6"/>
      <c r="D368" s="8" t="s">
        <v>77</v>
      </c>
      <c r="E368" s="8" t="s">
        <v>122</v>
      </c>
      <c r="F368" s="8" t="s">
        <v>328</v>
      </c>
      <c r="G368" s="86">
        <v>0</v>
      </c>
      <c r="H368" s="119">
        <f>1326708+53357</f>
        <v>1380065</v>
      </c>
      <c r="I368" s="86">
        <f t="shared" si="20"/>
        <v>1380065</v>
      </c>
      <c r="J368" s="119">
        <v>-399794</v>
      </c>
      <c r="K368" s="86">
        <f t="shared" si="20"/>
        <v>980271</v>
      </c>
      <c r="L368" s="143">
        <v>-26400</v>
      </c>
      <c r="M368" s="86">
        <f t="shared" si="21"/>
        <v>953871</v>
      </c>
      <c r="N368" s="143">
        <v>-54200</v>
      </c>
      <c r="O368" s="86">
        <f t="shared" si="21"/>
        <v>899671</v>
      </c>
      <c r="P368" s="143"/>
      <c r="Q368" s="86">
        <f t="shared" si="22"/>
        <v>899671</v>
      </c>
    </row>
    <row r="369" spans="2:17" ht="17.25" customHeight="1" hidden="1">
      <c r="B369" s="31" t="s">
        <v>324</v>
      </c>
      <c r="C369" s="6"/>
      <c r="D369" s="8" t="s">
        <v>77</v>
      </c>
      <c r="E369" s="8" t="s">
        <v>122</v>
      </c>
      <c r="F369" s="8" t="s">
        <v>329</v>
      </c>
      <c r="G369" s="86">
        <v>0</v>
      </c>
      <c r="H369" s="119"/>
      <c r="I369" s="86">
        <f t="shared" si="20"/>
        <v>0</v>
      </c>
      <c r="J369" s="119"/>
      <c r="K369" s="86">
        <f t="shared" si="20"/>
        <v>0</v>
      </c>
      <c r="L369" s="143"/>
      <c r="M369" s="86">
        <f t="shared" si="21"/>
        <v>0</v>
      </c>
      <c r="N369" s="143"/>
      <c r="O369" s="86">
        <f t="shared" si="21"/>
        <v>0</v>
      </c>
      <c r="P369" s="143"/>
      <c r="Q369" s="86">
        <f t="shared" si="22"/>
        <v>0</v>
      </c>
    </row>
    <row r="370" spans="2:17" ht="15.75">
      <c r="B370" s="31" t="s">
        <v>334</v>
      </c>
      <c r="C370" s="6"/>
      <c r="D370" s="8" t="s">
        <v>77</v>
      </c>
      <c r="E370" s="8" t="s">
        <v>122</v>
      </c>
      <c r="F370" s="8" t="s">
        <v>335</v>
      </c>
      <c r="G370" s="86">
        <v>0</v>
      </c>
      <c r="H370" s="119">
        <v>180000</v>
      </c>
      <c r="I370" s="86">
        <f t="shared" si="20"/>
        <v>180000</v>
      </c>
      <c r="J370" s="119">
        <v>-60000</v>
      </c>
      <c r="K370" s="86">
        <f t="shared" si="20"/>
        <v>120000</v>
      </c>
      <c r="L370" s="143"/>
      <c r="M370" s="86">
        <f t="shared" si="21"/>
        <v>120000</v>
      </c>
      <c r="N370" s="143"/>
      <c r="O370" s="86">
        <f t="shared" si="21"/>
        <v>120000</v>
      </c>
      <c r="P370" s="143"/>
      <c r="Q370" s="86">
        <f t="shared" si="22"/>
        <v>120000</v>
      </c>
    </row>
    <row r="371" spans="2:17" ht="20.25" customHeight="1">
      <c r="B371" s="32" t="s">
        <v>80</v>
      </c>
      <c r="C371" s="44"/>
      <c r="D371" s="46" t="s">
        <v>77</v>
      </c>
      <c r="E371" s="46" t="s">
        <v>255</v>
      </c>
      <c r="F371" s="46"/>
      <c r="G371" s="60">
        <f>G372+G373</f>
        <v>0</v>
      </c>
      <c r="H371" s="89"/>
      <c r="I371" s="60">
        <f>I372+I373</f>
        <v>400000</v>
      </c>
      <c r="J371" s="89">
        <v>0</v>
      </c>
      <c r="K371" s="60">
        <f>K372+K373</f>
        <v>400000</v>
      </c>
      <c r="L371" s="144"/>
      <c r="M371" s="60">
        <f>M372+M373</f>
        <v>400000</v>
      </c>
      <c r="N371" s="144"/>
      <c r="O371" s="60">
        <f>O372+O373</f>
        <v>400000</v>
      </c>
      <c r="P371" s="144"/>
      <c r="Q371" s="60">
        <f>Q372+Q373</f>
        <v>400000</v>
      </c>
    </row>
    <row r="372" spans="2:17" ht="15.75" hidden="1">
      <c r="B372" s="31" t="s">
        <v>320</v>
      </c>
      <c r="C372" s="44"/>
      <c r="D372" s="46" t="s">
        <v>77</v>
      </c>
      <c r="E372" s="46" t="s">
        <v>255</v>
      </c>
      <c r="F372" s="46" t="s">
        <v>325</v>
      </c>
      <c r="G372" s="60">
        <v>0</v>
      </c>
      <c r="H372" s="89"/>
      <c r="I372" s="60">
        <f>G372+H372</f>
        <v>0</v>
      </c>
      <c r="J372" s="89"/>
      <c r="K372" s="60">
        <f>I372+J372</f>
        <v>0</v>
      </c>
      <c r="L372" s="144"/>
      <c r="M372" s="60">
        <f>K372+L372</f>
        <v>0</v>
      </c>
      <c r="N372" s="144"/>
      <c r="O372" s="60">
        <f>M372+N372</f>
        <v>0</v>
      </c>
      <c r="P372" s="144"/>
      <c r="Q372" s="60">
        <f>O372+P372</f>
        <v>0</v>
      </c>
    </row>
    <row r="373" spans="2:17" ht="31.5">
      <c r="B373" s="31" t="s">
        <v>382</v>
      </c>
      <c r="C373" s="44"/>
      <c r="D373" s="46" t="s">
        <v>77</v>
      </c>
      <c r="E373" s="46" t="s">
        <v>255</v>
      </c>
      <c r="F373" s="46" t="s">
        <v>328</v>
      </c>
      <c r="G373" s="60">
        <v>0</v>
      </c>
      <c r="H373" s="89">
        <v>400000</v>
      </c>
      <c r="I373" s="60">
        <f>G373+H373</f>
        <v>400000</v>
      </c>
      <c r="J373" s="89">
        <v>0</v>
      </c>
      <c r="K373" s="60">
        <f>I373+J373</f>
        <v>400000</v>
      </c>
      <c r="L373" s="144"/>
      <c r="M373" s="60">
        <f>K373+L373</f>
        <v>400000</v>
      </c>
      <c r="N373" s="144"/>
      <c r="O373" s="60">
        <f>M373+N373</f>
        <v>400000</v>
      </c>
      <c r="P373" s="144"/>
      <c r="Q373" s="60">
        <f>O373+P373</f>
        <v>400000</v>
      </c>
    </row>
    <row r="374" spans="2:17" s="168" customFormat="1" ht="31.5">
      <c r="B374" s="163" t="s">
        <v>533</v>
      </c>
      <c r="C374" s="6"/>
      <c r="D374" s="97" t="s">
        <v>77</v>
      </c>
      <c r="E374" s="97" t="s">
        <v>534</v>
      </c>
      <c r="F374" s="97"/>
      <c r="G374" s="167"/>
      <c r="H374" s="169"/>
      <c r="I374" s="167"/>
      <c r="J374" s="169"/>
      <c r="K374" s="167"/>
      <c r="L374" s="170"/>
      <c r="M374" s="167"/>
      <c r="N374" s="170"/>
      <c r="O374" s="167">
        <f>O376+O377</f>
        <v>9563200</v>
      </c>
      <c r="P374" s="170"/>
      <c r="Q374" s="167">
        <f>Q376+Q377+Q378+Q375</f>
        <v>15358200</v>
      </c>
    </row>
    <row r="375" spans="2:17" s="168" customFormat="1" ht="47.25">
      <c r="B375" s="31" t="s">
        <v>322</v>
      </c>
      <c r="C375" s="6"/>
      <c r="D375" s="97" t="s">
        <v>77</v>
      </c>
      <c r="E375" s="97" t="s">
        <v>534</v>
      </c>
      <c r="F375" s="97" t="s">
        <v>327</v>
      </c>
      <c r="G375" s="167"/>
      <c r="H375" s="169"/>
      <c r="I375" s="167"/>
      <c r="J375" s="169"/>
      <c r="K375" s="167"/>
      <c r="L375" s="170"/>
      <c r="M375" s="167"/>
      <c r="N375" s="170"/>
      <c r="O375" s="167"/>
      <c r="P375" s="170">
        <v>4963000</v>
      </c>
      <c r="Q375" s="167">
        <f>O375+P375</f>
        <v>4963000</v>
      </c>
    </row>
    <row r="376" spans="2:17" s="168" customFormat="1" ht="47.25">
      <c r="B376" s="163" t="s">
        <v>376</v>
      </c>
      <c r="C376" s="6"/>
      <c r="D376" s="97" t="s">
        <v>77</v>
      </c>
      <c r="E376" s="97" t="s">
        <v>534</v>
      </c>
      <c r="F376" s="97" t="s">
        <v>331</v>
      </c>
      <c r="G376" s="167"/>
      <c r="H376" s="169"/>
      <c r="I376" s="167"/>
      <c r="J376" s="169"/>
      <c r="K376" s="167"/>
      <c r="L376" s="170"/>
      <c r="M376" s="167"/>
      <c r="N376" s="170">
        <v>4482400</v>
      </c>
      <c r="O376" s="167">
        <f>M376+N376</f>
        <v>4482400</v>
      </c>
      <c r="P376" s="170">
        <v>-1487176</v>
      </c>
      <c r="Q376" s="167">
        <f>O376+P376</f>
        <v>2995224</v>
      </c>
    </row>
    <row r="377" spans="2:17" s="168" customFormat="1" ht="31.5">
      <c r="B377" s="163" t="s">
        <v>382</v>
      </c>
      <c r="C377" s="6"/>
      <c r="D377" s="97" t="s">
        <v>77</v>
      </c>
      <c r="E377" s="97" t="s">
        <v>534</v>
      </c>
      <c r="F377" s="97" t="s">
        <v>328</v>
      </c>
      <c r="G377" s="167"/>
      <c r="H377" s="169"/>
      <c r="I377" s="167"/>
      <c r="J377" s="169"/>
      <c r="K377" s="167"/>
      <c r="L377" s="170"/>
      <c r="M377" s="167"/>
      <c r="N377" s="170">
        <v>5080800</v>
      </c>
      <c r="O377" s="167">
        <f>M377+N377</f>
        <v>5080800</v>
      </c>
      <c r="P377" s="170">
        <v>-57809</v>
      </c>
      <c r="Q377" s="167">
        <f>O377+P377</f>
        <v>5022991</v>
      </c>
    </row>
    <row r="378" spans="2:17" s="168" customFormat="1" ht="31.5">
      <c r="B378" s="96" t="s">
        <v>548</v>
      </c>
      <c r="C378" s="6"/>
      <c r="D378" s="97" t="s">
        <v>77</v>
      </c>
      <c r="E378" s="97" t="s">
        <v>534</v>
      </c>
      <c r="F378" s="97" t="s">
        <v>547</v>
      </c>
      <c r="G378" s="167"/>
      <c r="H378" s="169"/>
      <c r="I378" s="167"/>
      <c r="J378" s="169"/>
      <c r="K378" s="167"/>
      <c r="L378" s="170"/>
      <c r="M378" s="167"/>
      <c r="N378" s="170"/>
      <c r="O378" s="167"/>
      <c r="P378" s="170">
        <v>2376985</v>
      </c>
      <c r="Q378" s="167">
        <f>O378+P378</f>
        <v>2376985</v>
      </c>
    </row>
    <row r="379" spans="2:17" ht="31.5">
      <c r="B379" s="12" t="s">
        <v>81</v>
      </c>
      <c r="C379" s="6"/>
      <c r="D379" s="44" t="s">
        <v>77</v>
      </c>
      <c r="E379" s="6" t="s">
        <v>82</v>
      </c>
      <c r="F379" s="6"/>
      <c r="G379" s="60" t="e">
        <f>G380+G383+G391+G408+G405+#REF!+#REF!+#REF!</f>
        <v>#REF!</v>
      </c>
      <c r="H379" s="3">
        <v>0</v>
      </c>
      <c r="I379" s="60">
        <f>I380+I383+I391+I408+I405</f>
        <v>269874000</v>
      </c>
      <c r="J379" s="3">
        <v>0</v>
      </c>
      <c r="K379" s="60">
        <f>K380+K383+K391+K408+K405</f>
        <v>269874000</v>
      </c>
      <c r="L379" s="133"/>
      <c r="M379" s="60">
        <f>M380+M383+M391+M408+M405</f>
        <v>270875000</v>
      </c>
      <c r="N379" s="133"/>
      <c r="O379" s="60">
        <f>O380+O383+O391+O408+O405+O387</f>
        <v>275598000</v>
      </c>
      <c r="P379" s="133"/>
      <c r="Q379" s="60">
        <f>Q380+Q383+Q391+Q408+Q405+Q387+Q389</f>
        <v>285246528</v>
      </c>
    </row>
    <row r="380" spans="2:17" s="168" customFormat="1" ht="31.5">
      <c r="B380" s="11" t="s">
        <v>226</v>
      </c>
      <c r="C380" s="6"/>
      <c r="D380" s="6" t="s">
        <v>77</v>
      </c>
      <c r="E380" s="6" t="s">
        <v>124</v>
      </c>
      <c r="F380" s="6"/>
      <c r="G380" s="167">
        <f>G381</f>
        <v>0</v>
      </c>
      <c r="H380" s="112"/>
      <c r="I380" s="167">
        <f>I381</f>
        <v>0</v>
      </c>
      <c r="J380" s="112"/>
      <c r="K380" s="167">
        <f>K381</f>
        <v>0</v>
      </c>
      <c r="L380" s="134"/>
      <c r="M380" s="167">
        <f>M381</f>
        <v>0</v>
      </c>
      <c r="N380" s="134"/>
      <c r="O380" s="167">
        <f>O381+O382</f>
        <v>2999000</v>
      </c>
      <c r="P380" s="134"/>
      <c r="Q380" s="167">
        <f>Q381+Q382</f>
        <v>2999000</v>
      </c>
    </row>
    <row r="381" spans="2:17" s="168" customFormat="1" ht="18" customHeight="1">
      <c r="B381" s="92" t="s">
        <v>320</v>
      </c>
      <c r="C381" s="6"/>
      <c r="D381" s="6" t="s">
        <v>77</v>
      </c>
      <c r="E381" s="6" t="s">
        <v>124</v>
      </c>
      <c r="F381" s="6" t="s">
        <v>325</v>
      </c>
      <c r="G381" s="167">
        <v>0</v>
      </c>
      <c r="H381" s="112"/>
      <c r="I381" s="167">
        <f>G381+H381</f>
        <v>0</v>
      </c>
      <c r="J381" s="112"/>
      <c r="K381" s="167">
        <f>I381+J381</f>
        <v>0</v>
      </c>
      <c r="L381" s="134"/>
      <c r="M381" s="167">
        <f>K381+L381</f>
        <v>0</v>
      </c>
      <c r="N381" s="134">
        <f>2999000-94254</f>
        <v>2904746</v>
      </c>
      <c r="O381" s="167">
        <f>M381+N381</f>
        <v>2904746</v>
      </c>
      <c r="P381" s="134"/>
      <c r="Q381" s="167">
        <f>O381+P381</f>
        <v>2904746</v>
      </c>
    </row>
    <row r="382" spans="2:17" s="168" customFormat="1" ht="31.5">
      <c r="B382" s="96" t="s">
        <v>548</v>
      </c>
      <c r="C382" s="6"/>
      <c r="D382" s="6" t="s">
        <v>77</v>
      </c>
      <c r="E382" s="6" t="s">
        <v>124</v>
      </c>
      <c r="F382" s="6" t="s">
        <v>547</v>
      </c>
      <c r="G382" s="167"/>
      <c r="H382" s="112"/>
      <c r="I382" s="167"/>
      <c r="J382" s="112"/>
      <c r="K382" s="167"/>
      <c r="L382" s="134"/>
      <c r="M382" s="167"/>
      <c r="N382" s="134">
        <v>94254</v>
      </c>
      <c r="O382" s="167">
        <f>M382+N382</f>
        <v>94254</v>
      </c>
      <c r="P382" s="134"/>
      <c r="Q382" s="167">
        <f>O382+P382</f>
        <v>94254</v>
      </c>
    </row>
    <row r="383" spans="2:17" ht="48" customHeight="1">
      <c r="B383" s="12" t="s">
        <v>183</v>
      </c>
      <c r="C383" s="6"/>
      <c r="D383" s="6" t="s">
        <v>77</v>
      </c>
      <c r="E383" s="6" t="s">
        <v>336</v>
      </c>
      <c r="F383" s="6"/>
      <c r="G383" s="60">
        <f>G384</f>
        <v>0</v>
      </c>
      <c r="H383" s="3"/>
      <c r="I383" s="60">
        <f>I384</f>
        <v>11802000</v>
      </c>
      <c r="J383" s="3"/>
      <c r="K383" s="60">
        <f>K384</f>
        <v>11802000</v>
      </c>
      <c r="L383" s="133"/>
      <c r="M383" s="60">
        <f>M384</f>
        <v>11802000</v>
      </c>
      <c r="N383" s="133"/>
      <c r="O383" s="60">
        <f>O384+O385</f>
        <v>11802000</v>
      </c>
      <c r="P383" s="133"/>
      <c r="Q383" s="60">
        <f>Q384+Q385+Q386</f>
        <v>11802000</v>
      </c>
    </row>
    <row r="384" spans="2:17" ht="32.25" customHeight="1">
      <c r="B384" s="31" t="s">
        <v>382</v>
      </c>
      <c r="C384" s="6"/>
      <c r="D384" s="6" t="s">
        <v>77</v>
      </c>
      <c r="E384" s="6" t="s">
        <v>336</v>
      </c>
      <c r="F384" s="6" t="s">
        <v>328</v>
      </c>
      <c r="G384" s="60">
        <v>0</v>
      </c>
      <c r="H384" s="3">
        <v>11802000</v>
      </c>
      <c r="I384" s="60">
        <f>G384+H384</f>
        <v>11802000</v>
      </c>
      <c r="J384" s="3">
        <v>0</v>
      </c>
      <c r="K384" s="60">
        <f>I384+J384</f>
        <v>11802000</v>
      </c>
      <c r="L384" s="133"/>
      <c r="M384" s="60">
        <f>K384+L384</f>
        <v>11802000</v>
      </c>
      <c r="N384" s="133">
        <v>-174721.18</v>
      </c>
      <c r="O384" s="60">
        <f>M384+N384</f>
        <v>11627278.82</v>
      </c>
      <c r="P384" s="133">
        <v>-290248.93</v>
      </c>
      <c r="Q384" s="60">
        <f>O384+P384</f>
        <v>11337029.89</v>
      </c>
    </row>
    <row r="385" spans="2:17" ht="63">
      <c r="B385" s="96" t="s">
        <v>546</v>
      </c>
      <c r="C385" s="6"/>
      <c r="D385" s="6" t="s">
        <v>77</v>
      </c>
      <c r="E385" s="6" t="s">
        <v>336</v>
      </c>
      <c r="F385" s="6" t="s">
        <v>545</v>
      </c>
      <c r="G385" s="60"/>
      <c r="H385" s="3"/>
      <c r="I385" s="60"/>
      <c r="J385" s="3"/>
      <c r="K385" s="60"/>
      <c r="L385" s="133"/>
      <c r="M385" s="60"/>
      <c r="N385" s="133">
        <v>174721.18</v>
      </c>
      <c r="O385" s="60">
        <f>M385+N385</f>
        <v>174721.18</v>
      </c>
      <c r="P385" s="133"/>
      <c r="Q385" s="60">
        <f>O385+P385</f>
        <v>174721.18</v>
      </c>
    </row>
    <row r="386" spans="2:17" ht="31.5">
      <c r="B386" s="96" t="s">
        <v>548</v>
      </c>
      <c r="C386" s="6"/>
      <c r="D386" s="6" t="s">
        <v>77</v>
      </c>
      <c r="E386" s="6" t="s">
        <v>336</v>
      </c>
      <c r="F386" s="6" t="s">
        <v>547</v>
      </c>
      <c r="G386" s="60"/>
      <c r="H386" s="3"/>
      <c r="I386" s="60"/>
      <c r="J386" s="3"/>
      <c r="K386" s="60"/>
      <c r="L386" s="133"/>
      <c r="M386" s="60"/>
      <c r="N386" s="133"/>
      <c r="O386" s="60"/>
      <c r="P386" s="133">
        <v>290248.93</v>
      </c>
      <c r="Q386" s="60">
        <f>O386+P386</f>
        <v>290248.93</v>
      </c>
    </row>
    <row r="387" spans="2:17" s="168" customFormat="1" ht="63">
      <c r="B387" s="163" t="s">
        <v>535</v>
      </c>
      <c r="C387" s="6"/>
      <c r="D387" s="97" t="s">
        <v>77</v>
      </c>
      <c r="E387" s="97" t="s">
        <v>531</v>
      </c>
      <c r="F387" s="103"/>
      <c r="G387" s="167"/>
      <c r="H387" s="112"/>
      <c r="I387" s="167"/>
      <c r="J387" s="112"/>
      <c r="K387" s="167"/>
      <c r="L387" s="134"/>
      <c r="M387" s="167"/>
      <c r="N387" s="134"/>
      <c r="O387" s="167">
        <f>O388</f>
        <v>996000</v>
      </c>
      <c r="P387" s="134"/>
      <c r="Q387" s="167">
        <f>Q388</f>
        <v>2115000</v>
      </c>
    </row>
    <row r="388" spans="2:17" s="188" customFormat="1" ht="15" customHeight="1">
      <c r="B388" s="187" t="s">
        <v>320</v>
      </c>
      <c r="C388" s="184"/>
      <c r="D388" s="189" t="s">
        <v>77</v>
      </c>
      <c r="E388" s="189" t="s">
        <v>531</v>
      </c>
      <c r="F388" s="190" t="s">
        <v>325</v>
      </c>
      <c r="G388" s="185"/>
      <c r="H388" s="191"/>
      <c r="I388" s="185"/>
      <c r="J388" s="191"/>
      <c r="K388" s="185"/>
      <c r="L388" s="192"/>
      <c r="M388" s="185"/>
      <c r="N388" s="192">
        <f>262000+734000</f>
        <v>996000</v>
      </c>
      <c r="O388" s="185">
        <f>M388+N388</f>
        <v>996000</v>
      </c>
      <c r="P388" s="192">
        <f>1119000</f>
        <v>1119000</v>
      </c>
      <c r="Q388" s="185">
        <f>O388+P388</f>
        <v>2115000</v>
      </c>
    </row>
    <row r="389" spans="2:17" s="188" customFormat="1" ht="81" customHeight="1">
      <c r="B389" s="183" t="s">
        <v>587</v>
      </c>
      <c r="C389" s="184"/>
      <c r="D389" s="184" t="s">
        <v>77</v>
      </c>
      <c r="E389" s="184" t="s">
        <v>585</v>
      </c>
      <c r="F389" s="184"/>
      <c r="G389" s="185"/>
      <c r="H389" s="191"/>
      <c r="I389" s="185"/>
      <c r="J389" s="191"/>
      <c r="K389" s="185"/>
      <c r="L389" s="192"/>
      <c r="M389" s="185"/>
      <c r="N389" s="192"/>
      <c r="O389" s="185"/>
      <c r="P389" s="192"/>
      <c r="Q389" s="185">
        <f>Q390</f>
        <v>37528</v>
      </c>
    </row>
    <row r="390" spans="2:17" s="188" customFormat="1" ht="15.75">
      <c r="B390" s="193" t="s">
        <v>320</v>
      </c>
      <c r="C390" s="184"/>
      <c r="D390" s="184" t="s">
        <v>77</v>
      </c>
      <c r="E390" s="184" t="s">
        <v>585</v>
      </c>
      <c r="F390" s="184" t="s">
        <v>325</v>
      </c>
      <c r="G390" s="185"/>
      <c r="H390" s="191"/>
      <c r="I390" s="185"/>
      <c r="J390" s="191"/>
      <c r="K390" s="185"/>
      <c r="L390" s="192"/>
      <c r="M390" s="185"/>
      <c r="N390" s="192"/>
      <c r="O390" s="185"/>
      <c r="P390" s="192">
        <f>553000-515472</f>
        <v>37528</v>
      </c>
      <c r="Q390" s="185">
        <f>O390+P390</f>
        <v>37528</v>
      </c>
    </row>
    <row r="391" spans="2:17" s="188" customFormat="1" ht="252">
      <c r="B391" s="194" t="s">
        <v>227</v>
      </c>
      <c r="C391" s="184"/>
      <c r="D391" s="184" t="s">
        <v>77</v>
      </c>
      <c r="E391" s="184" t="s">
        <v>340</v>
      </c>
      <c r="F391" s="184"/>
      <c r="G391" s="195">
        <f>G392+G397+G401</f>
        <v>0</v>
      </c>
      <c r="H391" s="191"/>
      <c r="I391" s="195">
        <v>258072000</v>
      </c>
      <c r="J391" s="191"/>
      <c r="K391" s="195">
        <v>258072000</v>
      </c>
      <c r="L391" s="192"/>
      <c r="M391" s="195">
        <f>M392+M397+M401</f>
        <v>258072000</v>
      </c>
      <c r="N391" s="192"/>
      <c r="O391" s="195">
        <f>O392+O397+O401</f>
        <v>258800000</v>
      </c>
      <c r="P391" s="192"/>
      <c r="Q391" s="195">
        <f>Q392+Q397+Q401</f>
        <v>267292000</v>
      </c>
    </row>
    <row r="392" spans="2:17" ht="20.25" customHeight="1">
      <c r="B392" s="88" t="s">
        <v>337</v>
      </c>
      <c r="C392" s="6"/>
      <c r="D392" s="8" t="s">
        <v>77</v>
      </c>
      <c r="E392" s="8" t="s">
        <v>341</v>
      </c>
      <c r="F392" s="8"/>
      <c r="G392" s="86">
        <f>G393+G394</f>
        <v>0</v>
      </c>
      <c r="H392" s="3">
        <v>0</v>
      </c>
      <c r="I392" s="86">
        <f>I393+I394</f>
        <v>0</v>
      </c>
      <c r="J392" s="3">
        <v>0</v>
      </c>
      <c r="K392" s="86">
        <f>K393+K394</f>
        <v>0</v>
      </c>
      <c r="L392" s="133"/>
      <c r="M392" s="86">
        <f>M393+M394</f>
        <v>255119000</v>
      </c>
      <c r="N392" s="133"/>
      <c r="O392" s="86">
        <f>O393+O394+O395</f>
        <v>255119000</v>
      </c>
      <c r="P392" s="133"/>
      <c r="Q392" s="86">
        <f>Q393+Q394+Q395+Q396</f>
        <v>263611000</v>
      </c>
    </row>
    <row r="393" spans="2:17" ht="15.75">
      <c r="B393" s="31" t="s">
        <v>320</v>
      </c>
      <c r="C393" s="6"/>
      <c r="D393" s="8" t="s">
        <v>77</v>
      </c>
      <c r="E393" s="8" t="s">
        <v>341</v>
      </c>
      <c r="F393" s="8" t="s">
        <v>325</v>
      </c>
      <c r="G393" s="86">
        <v>0</v>
      </c>
      <c r="H393" s="3">
        <v>0</v>
      </c>
      <c r="I393" s="86">
        <f>G393+H393</f>
        <v>0</v>
      </c>
      <c r="J393" s="3">
        <v>0</v>
      </c>
      <c r="K393" s="86">
        <f>I393+J393</f>
        <v>0</v>
      </c>
      <c r="L393" s="141">
        <v>254532800</v>
      </c>
      <c r="M393" s="86">
        <f>K393+L393</f>
        <v>254532800</v>
      </c>
      <c r="N393" s="141">
        <v>-9302630.79</v>
      </c>
      <c r="O393" s="86">
        <f>M393+N393</f>
        <v>245230169.21</v>
      </c>
      <c r="P393" s="182">
        <f>8492000-555891</f>
        <v>7936109</v>
      </c>
      <c r="Q393" s="86">
        <f>O393+P393</f>
        <v>253166278.21</v>
      </c>
    </row>
    <row r="394" spans="2:17" ht="33.75" customHeight="1">
      <c r="B394" s="31" t="s">
        <v>321</v>
      </c>
      <c r="C394" s="6"/>
      <c r="D394" s="8" t="s">
        <v>77</v>
      </c>
      <c r="E394" s="8" t="s">
        <v>341</v>
      </c>
      <c r="F394" s="8" t="s">
        <v>326</v>
      </c>
      <c r="G394" s="86">
        <v>0</v>
      </c>
      <c r="H394" s="3"/>
      <c r="I394" s="86">
        <f>G394+H394</f>
        <v>0</v>
      </c>
      <c r="J394" s="3"/>
      <c r="K394" s="86">
        <f>I394+J394</f>
        <v>0</v>
      </c>
      <c r="L394" s="141">
        <v>586200</v>
      </c>
      <c r="M394" s="86">
        <f>K394+L394</f>
        <v>586200</v>
      </c>
      <c r="N394" s="141">
        <v>-18000</v>
      </c>
      <c r="O394" s="86">
        <f>M394+N394</f>
        <v>568200</v>
      </c>
      <c r="P394" s="196"/>
      <c r="Q394" s="86">
        <f>O394+P394</f>
        <v>568200</v>
      </c>
    </row>
    <row r="395" spans="2:17" ht="63">
      <c r="B395" s="96" t="s">
        <v>546</v>
      </c>
      <c r="C395" s="6"/>
      <c r="D395" s="8" t="s">
        <v>77</v>
      </c>
      <c r="E395" s="8" t="s">
        <v>341</v>
      </c>
      <c r="F395" s="97" t="s">
        <v>545</v>
      </c>
      <c r="G395" s="86"/>
      <c r="H395" s="3"/>
      <c r="I395" s="86"/>
      <c r="J395" s="3"/>
      <c r="K395" s="86"/>
      <c r="L395" s="141"/>
      <c r="M395" s="86"/>
      <c r="N395" s="141">
        <v>9320630.79</v>
      </c>
      <c r="O395" s="86">
        <f>M395+N395</f>
        <v>9320630.79</v>
      </c>
      <c r="P395" s="196"/>
      <c r="Q395" s="86">
        <f>O395+P395</f>
        <v>9320630.79</v>
      </c>
    </row>
    <row r="396" spans="2:17" ht="31.5">
      <c r="B396" s="96" t="s">
        <v>548</v>
      </c>
      <c r="C396" s="6"/>
      <c r="D396" s="8" t="s">
        <v>77</v>
      </c>
      <c r="E396" s="8" t="s">
        <v>341</v>
      </c>
      <c r="F396" s="97" t="s">
        <v>547</v>
      </c>
      <c r="G396" s="86"/>
      <c r="H396" s="3"/>
      <c r="I396" s="86"/>
      <c r="J396" s="3"/>
      <c r="K396" s="86"/>
      <c r="L396" s="141"/>
      <c r="M396" s="86"/>
      <c r="N396" s="141"/>
      <c r="O396" s="86"/>
      <c r="P396" s="196">
        <v>555891</v>
      </c>
      <c r="Q396" s="86">
        <f>O396+P396</f>
        <v>555891</v>
      </c>
    </row>
    <row r="397" spans="2:17" ht="220.5">
      <c r="B397" s="88" t="s">
        <v>338</v>
      </c>
      <c r="C397" s="6"/>
      <c r="D397" s="8" t="s">
        <v>77</v>
      </c>
      <c r="E397" s="8" t="s">
        <v>342</v>
      </c>
      <c r="F397" s="8"/>
      <c r="G397" s="86">
        <f>G399+G398</f>
        <v>0</v>
      </c>
      <c r="H397" s="3"/>
      <c r="I397" s="86">
        <f>I399+I398</f>
        <v>0</v>
      </c>
      <c r="J397" s="3"/>
      <c r="K397" s="86">
        <f>K399+K398</f>
        <v>0</v>
      </c>
      <c r="L397" s="141"/>
      <c r="M397" s="86">
        <f>M399+M398</f>
        <v>1165000</v>
      </c>
      <c r="N397" s="141"/>
      <c r="O397" s="86">
        <f>O399+O398+O400</f>
        <v>1893000</v>
      </c>
      <c r="P397" s="141"/>
      <c r="Q397" s="86">
        <f>Q399+Q398+Q400</f>
        <v>1987687.13</v>
      </c>
    </row>
    <row r="398" spans="2:17" ht="47.25">
      <c r="B398" s="88" t="s">
        <v>322</v>
      </c>
      <c r="C398" s="6"/>
      <c r="D398" s="8" t="s">
        <v>77</v>
      </c>
      <c r="E398" s="8" t="s">
        <v>342</v>
      </c>
      <c r="F398" s="8" t="s">
        <v>327</v>
      </c>
      <c r="G398" s="86">
        <v>0</v>
      </c>
      <c r="H398" s="3">
        <v>0</v>
      </c>
      <c r="I398" s="86">
        <f>G398+H398</f>
        <v>0</v>
      </c>
      <c r="J398" s="3">
        <v>0</v>
      </c>
      <c r="K398" s="86">
        <f>I398+J398</f>
        <v>0</v>
      </c>
      <c r="L398" s="141">
        <v>130000</v>
      </c>
      <c r="M398" s="86">
        <f>K398+L398</f>
        <v>130000</v>
      </c>
      <c r="N398" s="141">
        <v>-10000</v>
      </c>
      <c r="O398" s="86">
        <f>M398+N398</f>
        <v>120000</v>
      </c>
      <c r="P398" s="141"/>
      <c r="Q398" s="86">
        <f>O398+P398</f>
        <v>120000</v>
      </c>
    </row>
    <row r="399" spans="2:17" ht="33.75" customHeight="1">
      <c r="B399" s="31" t="s">
        <v>382</v>
      </c>
      <c r="C399" s="6"/>
      <c r="D399" s="8" t="s">
        <v>77</v>
      </c>
      <c r="E399" s="8" t="s">
        <v>342</v>
      </c>
      <c r="F399" s="8" t="s">
        <v>328</v>
      </c>
      <c r="G399" s="86">
        <v>0</v>
      </c>
      <c r="H399" s="3">
        <v>0</v>
      </c>
      <c r="I399" s="86">
        <f>G399+H399</f>
        <v>0</v>
      </c>
      <c r="J399" s="3">
        <v>0</v>
      </c>
      <c r="K399" s="86">
        <f>I399+J399</f>
        <v>0</v>
      </c>
      <c r="L399" s="141">
        <v>1035000</v>
      </c>
      <c r="M399" s="86">
        <f>K399+L399</f>
        <v>1035000</v>
      </c>
      <c r="N399" s="141">
        <f>705800-75000</f>
        <v>630800</v>
      </c>
      <c r="O399" s="86">
        <f>M399+N399</f>
        <v>1665800</v>
      </c>
      <c r="P399" s="141">
        <v>94687.13</v>
      </c>
      <c r="Q399" s="86">
        <f>O399+P399</f>
        <v>1760487.13</v>
      </c>
    </row>
    <row r="400" spans="2:17" ht="63">
      <c r="B400" s="96" t="s">
        <v>546</v>
      </c>
      <c r="C400" s="6"/>
      <c r="D400" s="8" t="s">
        <v>77</v>
      </c>
      <c r="E400" s="8" t="s">
        <v>342</v>
      </c>
      <c r="F400" s="97" t="s">
        <v>545</v>
      </c>
      <c r="G400" s="86"/>
      <c r="H400" s="3"/>
      <c r="I400" s="86"/>
      <c r="J400" s="3"/>
      <c r="K400" s="86"/>
      <c r="L400" s="141"/>
      <c r="M400" s="86"/>
      <c r="N400" s="141">
        <f>22200+85000</f>
        <v>107200</v>
      </c>
      <c r="O400" s="86">
        <f>M400+N400</f>
        <v>107200</v>
      </c>
      <c r="P400" s="141"/>
      <c r="Q400" s="86">
        <f>O400+P400</f>
        <v>107200</v>
      </c>
    </row>
    <row r="401" spans="2:17" ht="157.5">
      <c r="B401" s="88" t="s">
        <v>339</v>
      </c>
      <c r="C401" s="6"/>
      <c r="D401" s="8" t="s">
        <v>77</v>
      </c>
      <c r="E401" s="8" t="s">
        <v>343</v>
      </c>
      <c r="F401" s="8"/>
      <c r="G401" s="86">
        <f>G402+G403</f>
        <v>0</v>
      </c>
      <c r="H401" s="3"/>
      <c r="I401" s="86">
        <f>I402+I403</f>
        <v>0</v>
      </c>
      <c r="J401" s="3"/>
      <c r="K401" s="86">
        <f>K402+K403</f>
        <v>0</v>
      </c>
      <c r="L401" s="141"/>
      <c r="M401" s="86">
        <f>M402+M403</f>
        <v>1788000</v>
      </c>
      <c r="N401" s="141"/>
      <c r="O401" s="86">
        <f>O402+O403+O404</f>
        <v>1788000</v>
      </c>
      <c r="P401" s="141"/>
      <c r="Q401" s="86">
        <f>Q402+Q403+Q404</f>
        <v>1693312.8699999999</v>
      </c>
    </row>
    <row r="402" spans="2:17" ht="33.75" customHeight="1">
      <c r="B402" s="88" t="s">
        <v>322</v>
      </c>
      <c r="C402" s="6"/>
      <c r="D402" s="8" t="s">
        <v>77</v>
      </c>
      <c r="E402" s="8" t="s">
        <v>343</v>
      </c>
      <c r="F402" s="8" t="s">
        <v>327</v>
      </c>
      <c r="G402" s="86">
        <v>0</v>
      </c>
      <c r="H402" s="3">
        <v>0</v>
      </c>
      <c r="I402" s="86">
        <f>G402+H402</f>
        <v>0</v>
      </c>
      <c r="J402" s="3">
        <v>0</v>
      </c>
      <c r="K402" s="86">
        <f>I402+J402</f>
        <v>0</v>
      </c>
      <c r="L402" s="141">
        <v>1383446.94</v>
      </c>
      <c r="M402" s="86">
        <f>K402+L402</f>
        <v>1383446.94</v>
      </c>
      <c r="N402" s="141">
        <v>-40954</v>
      </c>
      <c r="O402" s="86">
        <f>M402+N402</f>
        <v>1342492.94</v>
      </c>
      <c r="P402" s="141"/>
      <c r="Q402" s="86">
        <f>O402+P402</f>
        <v>1342492.94</v>
      </c>
    </row>
    <row r="403" spans="2:17" ht="33.75" customHeight="1">
      <c r="B403" s="31" t="s">
        <v>382</v>
      </c>
      <c r="C403" s="6"/>
      <c r="D403" s="8" t="s">
        <v>77</v>
      </c>
      <c r="E403" s="8" t="s">
        <v>343</v>
      </c>
      <c r="F403" s="8" t="s">
        <v>328</v>
      </c>
      <c r="G403" s="86">
        <v>0</v>
      </c>
      <c r="H403" s="3">
        <v>0</v>
      </c>
      <c r="I403" s="86">
        <f>G403+H403</f>
        <v>0</v>
      </c>
      <c r="J403" s="3">
        <v>0</v>
      </c>
      <c r="K403" s="86">
        <f>I403+J403</f>
        <v>0</v>
      </c>
      <c r="L403" s="141">
        <v>404553.06</v>
      </c>
      <c r="M403" s="86">
        <f>K403+L403</f>
        <v>404553.06</v>
      </c>
      <c r="N403" s="141">
        <v>-34000</v>
      </c>
      <c r="O403" s="86">
        <f>M403+N403</f>
        <v>370553.06</v>
      </c>
      <c r="P403" s="141">
        <v>-94687.13</v>
      </c>
      <c r="Q403" s="86">
        <f>O403+P403</f>
        <v>275865.93</v>
      </c>
    </row>
    <row r="404" spans="2:17" ht="63">
      <c r="B404" s="96" t="s">
        <v>546</v>
      </c>
      <c r="C404" s="6"/>
      <c r="D404" s="8" t="s">
        <v>77</v>
      </c>
      <c r="E404" s="8" t="s">
        <v>343</v>
      </c>
      <c r="F404" s="97" t="s">
        <v>545</v>
      </c>
      <c r="G404" s="86"/>
      <c r="H404" s="3"/>
      <c r="I404" s="86"/>
      <c r="J404" s="3"/>
      <c r="K404" s="86"/>
      <c r="L404" s="141"/>
      <c r="M404" s="86"/>
      <c r="N404" s="141">
        <v>74954</v>
      </c>
      <c r="O404" s="86">
        <f>M404+N404</f>
        <v>74954</v>
      </c>
      <c r="P404" s="141"/>
      <c r="Q404" s="86">
        <f>O404+P404</f>
        <v>74954</v>
      </c>
    </row>
    <row r="405" spans="2:17" ht="141.75">
      <c r="B405" s="63" t="s">
        <v>251</v>
      </c>
      <c r="C405" s="6"/>
      <c r="D405" s="44" t="s">
        <v>77</v>
      </c>
      <c r="E405" s="6" t="s">
        <v>344</v>
      </c>
      <c r="F405" s="6"/>
      <c r="G405" s="60">
        <f>G406+G407</f>
        <v>0</v>
      </c>
      <c r="H405" s="3"/>
      <c r="I405" s="60">
        <f>I406+I407</f>
        <v>0</v>
      </c>
      <c r="J405" s="3"/>
      <c r="K405" s="60">
        <f>K406+K407</f>
        <v>0</v>
      </c>
      <c r="L405" s="133"/>
      <c r="M405" s="60">
        <f>M406+M407</f>
        <v>971000</v>
      </c>
      <c r="N405" s="133"/>
      <c r="O405" s="60">
        <f>O406+O407</f>
        <v>971000</v>
      </c>
      <c r="P405" s="133"/>
      <c r="Q405" s="60">
        <f>Q406+Q407</f>
        <v>971000</v>
      </c>
    </row>
    <row r="406" spans="2:17" ht="15.75">
      <c r="B406" s="31" t="s">
        <v>320</v>
      </c>
      <c r="C406" s="44"/>
      <c r="D406" s="44" t="s">
        <v>77</v>
      </c>
      <c r="E406" s="44" t="s">
        <v>344</v>
      </c>
      <c r="F406" s="44" t="s">
        <v>325</v>
      </c>
      <c r="G406" s="86">
        <v>0</v>
      </c>
      <c r="H406" s="40">
        <v>0</v>
      </c>
      <c r="I406" s="86">
        <f>G406+H406</f>
        <v>0</v>
      </c>
      <c r="J406" s="40">
        <v>0</v>
      </c>
      <c r="K406" s="86">
        <f>I406+J406</f>
        <v>0</v>
      </c>
      <c r="L406" s="135">
        <v>629918</v>
      </c>
      <c r="M406" s="86">
        <f>K406+L406</f>
        <v>629918</v>
      </c>
      <c r="N406" s="135">
        <v>0</v>
      </c>
      <c r="O406" s="86">
        <f>M406+N406</f>
        <v>629918</v>
      </c>
      <c r="P406" s="135"/>
      <c r="Q406" s="86">
        <f>O406+P406</f>
        <v>629918</v>
      </c>
    </row>
    <row r="407" spans="2:17" ht="33.75" customHeight="1">
      <c r="B407" s="31" t="s">
        <v>382</v>
      </c>
      <c r="C407" s="44"/>
      <c r="D407" s="44" t="s">
        <v>77</v>
      </c>
      <c r="E407" s="44" t="s">
        <v>344</v>
      </c>
      <c r="F407" s="44" t="s">
        <v>328</v>
      </c>
      <c r="G407" s="86">
        <v>0</v>
      </c>
      <c r="H407" s="40">
        <v>0</v>
      </c>
      <c r="I407" s="86">
        <f>G407+H407</f>
        <v>0</v>
      </c>
      <c r="J407" s="40">
        <v>0</v>
      </c>
      <c r="K407" s="86">
        <f>I407+J407</f>
        <v>0</v>
      </c>
      <c r="L407" s="135">
        <v>341082</v>
      </c>
      <c r="M407" s="86">
        <f>K407+L407</f>
        <v>341082</v>
      </c>
      <c r="N407" s="135">
        <v>0</v>
      </c>
      <c r="O407" s="86">
        <f>M407+N407</f>
        <v>341082</v>
      </c>
      <c r="P407" s="135"/>
      <c r="Q407" s="86">
        <f>O407+P407</f>
        <v>341082</v>
      </c>
    </row>
    <row r="408" spans="2:17" ht="126">
      <c r="B408" s="56" t="s">
        <v>228</v>
      </c>
      <c r="C408" s="6"/>
      <c r="D408" s="8" t="s">
        <v>77</v>
      </c>
      <c r="E408" s="8" t="s">
        <v>346</v>
      </c>
      <c r="F408" s="8"/>
      <c r="G408" s="60">
        <f>G409</f>
        <v>0</v>
      </c>
      <c r="H408" s="3"/>
      <c r="I408" s="60">
        <f>I409</f>
        <v>0</v>
      </c>
      <c r="J408" s="3"/>
      <c r="K408" s="60">
        <f>K409</f>
        <v>0</v>
      </c>
      <c r="L408" s="133"/>
      <c r="M408" s="60">
        <f>M409</f>
        <v>30000</v>
      </c>
      <c r="N408" s="133"/>
      <c r="O408" s="60">
        <f>O409+O410</f>
        <v>30000</v>
      </c>
      <c r="P408" s="133"/>
      <c r="Q408" s="60">
        <f>Q409+Q410</f>
        <v>30000</v>
      </c>
    </row>
    <row r="409" spans="2:17" ht="31.5">
      <c r="B409" s="31" t="s">
        <v>345</v>
      </c>
      <c r="C409" s="6"/>
      <c r="D409" s="8" t="s">
        <v>77</v>
      </c>
      <c r="E409" s="8" t="s">
        <v>346</v>
      </c>
      <c r="F409" s="8" t="s">
        <v>347</v>
      </c>
      <c r="G409" s="60">
        <v>0</v>
      </c>
      <c r="H409" s="3"/>
      <c r="I409" s="60">
        <f>G409+H409</f>
        <v>0</v>
      </c>
      <c r="J409" s="3"/>
      <c r="K409" s="60">
        <f>I409+J409</f>
        <v>0</v>
      </c>
      <c r="L409" s="133">
        <v>30000</v>
      </c>
      <c r="M409" s="60">
        <f>K409+L409</f>
        <v>30000</v>
      </c>
      <c r="N409" s="133">
        <v>-12900</v>
      </c>
      <c r="O409" s="60">
        <f>M409+N409</f>
        <v>17100</v>
      </c>
      <c r="P409" s="133"/>
      <c r="Q409" s="60">
        <f>O409+P409</f>
        <v>17100</v>
      </c>
    </row>
    <row r="410" spans="2:17" ht="33.75" customHeight="1">
      <c r="B410" s="96" t="s">
        <v>548</v>
      </c>
      <c r="C410" s="6"/>
      <c r="D410" s="8" t="s">
        <v>77</v>
      </c>
      <c r="E410" s="8" t="s">
        <v>346</v>
      </c>
      <c r="F410" s="97" t="s">
        <v>547</v>
      </c>
      <c r="G410" s="60"/>
      <c r="H410" s="3"/>
      <c r="I410" s="60"/>
      <c r="J410" s="3"/>
      <c r="K410" s="60"/>
      <c r="L410" s="133"/>
      <c r="M410" s="60"/>
      <c r="N410" s="133">
        <v>12900</v>
      </c>
      <c r="O410" s="60">
        <f>M410+N410</f>
        <v>12900</v>
      </c>
      <c r="P410" s="133"/>
      <c r="Q410" s="60">
        <f>O410+P410</f>
        <v>12900</v>
      </c>
    </row>
    <row r="411" spans="2:17" ht="78.75">
      <c r="B411" s="96" t="s">
        <v>569</v>
      </c>
      <c r="C411" s="6"/>
      <c r="D411" s="97" t="s">
        <v>77</v>
      </c>
      <c r="E411" s="97" t="s">
        <v>522</v>
      </c>
      <c r="F411" s="97"/>
      <c r="G411" s="60"/>
      <c r="H411" s="3"/>
      <c r="I411" s="60"/>
      <c r="J411" s="3"/>
      <c r="K411" s="60"/>
      <c r="L411" s="133"/>
      <c r="M411" s="60">
        <f>M412</f>
        <v>98000</v>
      </c>
      <c r="N411" s="133"/>
      <c r="O411" s="60">
        <f>O412</f>
        <v>98000</v>
      </c>
      <c r="P411" s="133"/>
      <c r="Q411" s="60">
        <f>Q412</f>
        <v>98000</v>
      </c>
    </row>
    <row r="412" spans="2:17" ht="78.75">
      <c r="B412" s="96" t="s">
        <v>521</v>
      </c>
      <c r="C412" s="6"/>
      <c r="D412" s="97" t="s">
        <v>77</v>
      </c>
      <c r="E412" s="97" t="s">
        <v>523</v>
      </c>
      <c r="F412" s="97"/>
      <c r="G412" s="60"/>
      <c r="H412" s="3"/>
      <c r="I412" s="60"/>
      <c r="J412" s="3"/>
      <c r="K412" s="60"/>
      <c r="L412" s="133"/>
      <c r="M412" s="60">
        <f>M413</f>
        <v>98000</v>
      </c>
      <c r="N412" s="133"/>
      <c r="O412" s="60">
        <f>O413</f>
        <v>98000</v>
      </c>
      <c r="P412" s="133"/>
      <c r="Q412" s="60">
        <f>Q413</f>
        <v>98000</v>
      </c>
    </row>
    <row r="413" spans="2:17" ht="31.5">
      <c r="B413" s="96" t="s">
        <v>382</v>
      </c>
      <c r="C413" s="6"/>
      <c r="D413" s="97" t="s">
        <v>77</v>
      </c>
      <c r="E413" s="97" t="s">
        <v>523</v>
      </c>
      <c r="F413" s="97" t="s">
        <v>328</v>
      </c>
      <c r="G413" s="60"/>
      <c r="H413" s="3"/>
      <c r="I413" s="60"/>
      <c r="J413" s="3"/>
      <c r="K413" s="60"/>
      <c r="L413" s="133">
        <v>98000</v>
      </c>
      <c r="M413" s="60">
        <f>K413+L413</f>
        <v>98000</v>
      </c>
      <c r="N413" s="133">
        <v>0</v>
      </c>
      <c r="O413" s="60">
        <f>M413+N413</f>
        <v>98000</v>
      </c>
      <c r="P413" s="133"/>
      <c r="Q413" s="60">
        <f>O413+P413</f>
        <v>98000</v>
      </c>
    </row>
    <row r="414" spans="2:17" ht="47.25">
      <c r="B414" s="96" t="s">
        <v>570</v>
      </c>
      <c r="C414" s="6"/>
      <c r="D414" s="97" t="s">
        <v>77</v>
      </c>
      <c r="E414" s="97" t="s">
        <v>524</v>
      </c>
      <c r="F414" s="97"/>
      <c r="G414" s="60"/>
      <c r="H414" s="3"/>
      <c r="I414" s="60"/>
      <c r="J414" s="3"/>
      <c r="K414" s="60"/>
      <c r="L414" s="133"/>
      <c r="M414" s="60">
        <f>M416+M415</f>
        <v>5235000</v>
      </c>
      <c r="N414" s="133"/>
      <c r="O414" s="60">
        <f>O416+O415</f>
        <v>5235000</v>
      </c>
      <c r="P414" s="133"/>
      <c r="Q414" s="60">
        <f>Q416+Q415</f>
        <v>5235000</v>
      </c>
    </row>
    <row r="415" spans="2:17" ht="47.25">
      <c r="B415" s="96" t="s">
        <v>376</v>
      </c>
      <c r="C415" s="6"/>
      <c r="D415" s="97" t="s">
        <v>77</v>
      </c>
      <c r="E415" s="98" t="s">
        <v>526</v>
      </c>
      <c r="F415" s="97" t="s">
        <v>331</v>
      </c>
      <c r="G415" s="60"/>
      <c r="H415" s="3"/>
      <c r="I415" s="60"/>
      <c r="J415" s="3"/>
      <c r="K415" s="60"/>
      <c r="L415" s="133">
        <v>3485000</v>
      </c>
      <c r="M415" s="60">
        <f>K415+L415</f>
        <v>3485000</v>
      </c>
      <c r="N415" s="133">
        <v>0</v>
      </c>
      <c r="O415" s="60">
        <f>M415+N415</f>
        <v>3485000</v>
      </c>
      <c r="P415" s="133"/>
      <c r="Q415" s="60">
        <f>O415+P415</f>
        <v>3485000</v>
      </c>
    </row>
    <row r="416" spans="2:17" ht="31.5">
      <c r="B416" s="96" t="s">
        <v>382</v>
      </c>
      <c r="C416" s="6"/>
      <c r="D416" s="97" t="s">
        <v>77</v>
      </c>
      <c r="E416" s="98" t="s">
        <v>525</v>
      </c>
      <c r="F416" s="97" t="s">
        <v>328</v>
      </c>
      <c r="G416" s="60"/>
      <c r="H416" s="3"/>
      <c r="I416" s="60"/>
      <c r="J416" s="3"/>
      <c r="K416" s="60"/>
      <c r="L416" s="133">
        <v>1750000</v>
      </c>
      <c r="M416" s="60">
        <f>K416+L416</f>
        <v>1750000</v>
      </c>
      <c r="N416" s="133">
        <v>0</v>
      </c>
      <c r="O416" s="60">
        <f>M416+N416</f>
        <v>1750000</v>
      </c>
      <c r="P416" s="133"/>
      <c r="Q416" s="60">
        <f>O416+P416</f>
        <v>1750000</v>
      </c>
    </row>
    <row r="417" spans="2:17" ht="15.75">
      <c r="B417" s="12" t="s">
        <v>83</v>
      </c>
      <c r="C417" s="6"/>
      <c r="D417" s="44" t="s">
        <v>84</v>
      </c>
      <c r="E417" s="9"/>
      <c r="F417" s="9"/>
      <c r="G417" s="60" t="e">
        <f>SUM(G418+G425+#REF!+G437)</f>
        <v>#REF!</v>
      </c>
      <c r="H417" s="3"/>
      <c r="I417" s="60">
        <f>SUM(I418+I425+I437)</f>
        <v>13407287</v>
      </c>
      <c r="J417" s="3"/>
      <c r="K417" s="60">
        <f>SUM(K418+K425+K437)</f>
        <v>13628287</v>
      </c>
      <c r="L417" s="133"/>
      <c r="M417" s="60">
        <f>SUM(M418+M425+M437)</f>
        <v>13845887</v>
      </c>
      <c r="N417" s="133"/>
      <c r="O417" s="60">
        <f>SUM(O418+O425+O437+O447)</f>
        <v>14145287</v>
      </c>
      <c r="P417" s="133"/>
      <c r="Q417" s="60">
        <f>SUM(Q418+Q425+Q437+Q447)</f>
        <v>14245287</v>
      </c>
    </row>
    <row r="418" spans="2:17" ht="31.5">
      <c r="B418" s="23" t="s">
        <v>85</v>
      </c>
      <c r="C418" s="44"/>
      <c r="D418" s="44" t="s">
        <v>84</v>
      </c>
      <c r="E418" s="44">
        <v>4310000</v>
      </c>
      <c r="F418" s="44"/>
      <c r="G418" s="60">
        <f>G419</f>
        <v>0</v>
      </c>
      <c r="H418" s="120"/>
      <c r="I418" s="60">
        <f>I419</f>
        <v>821000</v>
      </c>
      <c r="J418" s="120"/>
      <c r="K418" s="60">
        <f>K419</f>
        <v>777000</v>
      </c>
      <c r="L418" s="145"/>
      <c r="M418" s="60">
        <f>M419</f>
        <v>745000</v>
      </c>
      <c r="N418" s="145"/>
      <c r="O418" s="60">
        <f>O419</f>
        <v>745000</v>
      </c>
      <c r="P418" s="145"/>
      <c r="Q418" s="60">
        <f>Q419</f>
        <v>841000</v>
      </c>
    </row>
    <row r="419" spans="2:17" ht="31.5">
      <c r="B419" s="23" t="s">
        <v>125</v>
      </c>
      <c r="C419" s="44"/>
      <c r="D419" s="44" t="s">
        <v>84</v>
      </c>
      <c r="E419" s="44" t="s">
        <v>130</v>
      </c>
      <c r="F419" s="44"/>
      <c r="G419" s="60">
        <f>SUM(G420+G424+G421)</f>
        <v>0</v>
      </c>
      <c r="H419" s="120"/>
      <c r="I419" s="60">
        <f>SUM(I420+I424+I421)</f>
        <v>821000</v>
      </c>
      <c r="J419" s="120"/>
      <c r="K419" s="60">
        <f>SUM(K420+K424+K421)</f>
        <v>777000</v>
      </c>
      <c r="L419" s="145"/>
      <c r="M419" s="60">
        <f>SUM(M420+M424+M421)</f>
        <v>745000</v>
      </c>
      <c r="N419" s="145"/>
      <c r="O419" s="60">
        <f>SUM(O420+O424+O421+O422+O423)</f>
        <v>745000</v>
      </c>
      <c r="P419" s="145"/>
      <c r="Q419" s="60">
        <f>SUM(Q420+Q424+Q421+Q422+Q423)</f>
        <v>841000</v>
      </c>
    </row>
    <row r="420" spans="2:17" ht="18" customHeight="1">
      <c r="B420" s="32" t="s">
        <v>320</v>
      </c>
      <c r="C420" s="44"/>
      <c r="D420" s="44" t="s">
        <v>84</v>
      </c>
      <c r="E420" s="44" t="s">
        <v>130</v>
      </c>
      <c r="F420" s="44" t="s">
        <v>325</v>
      </c>
      <c r="G420" s="60">
        <v>0</v>
      </c>
      <c r="H420" s="120">
        <v>606732</v>
      </c>
      <c r="I420" s="60">
        <f>G420+H420</f>
        <v>606732</v>
      </c>
      <c r="J420" s="120">
        <v>0</v>
      </c>
      <c r="K420" s="60">
        <f>I420+J420</f>
        <v>606732</v>
      </c>
      <c r="L420" s="145"/>
      <c r="M420" s="60">
        <f>K420+L420</f>
        <v>606732</v>
      </c>
      <c r="N420" s="145"/>
      <c r="O420" s="60">
        <f>M420+N420</f>
        <v>606732</v>
      </c>
      <c r="P420" s="145"/>
      <c r="Q420" s="60">
        <f>O420+P420</f>
        <v>606732</v>
      </c>
    </row>
    <row r="421" spans="2:17" ht="48.75" customHeight="1">
      <c r="B421" s="88" t="s">
        <v>322</v>
      </c>
      <c r="C421" s="44"/>
      <c r="D421" s="44" t="s">
        <v>84</v>
      </c>
      <c r="E421" s="44" t="s">
        <v>130</v>
      </c>
      <c r="F421" s="44" t="s">
        <v>327</v>
      </c>
      <c r="G421" s="60">
        <v>0</v>
      </c>
      <c r="H421" s="120">
        <v>0</v>
      </c>
      <c r="I421" s="60">
        <f>G421+H421</f>
        <v>0</v>
      </c>
      <c r="J421" s="120">
        <v>0</v>
      </c>
      <c r="K421" s="60">
        <f>I421+J421</f>
        <v>0</v>
      </c>
      <c r="L421" s="145"/>
      <c r="M421" s="60">
        <f>K421+L421</f>
        <v>0</v>
      </c>
      <c r="N421" s="145"/>
      <c r="O421" s="60">
        <f>M421+N421</f>
        <v>0</v>
      </c>
      <c r="P421" s="145"/>
      <c r="Q421" s="60">
        <f>O421+P421</f>
        <v>0</v>
      </c>
    </row>
    <row r="422" spans="2:17" ht="38.25" customHeight="1">
      <c r="B422" s="88" t="s">
        <v>382</v>
      </c>
      <c r="C422" s="44"/>
      <c r="D422" s="44" t="s">
        <v>84</v>
      </c>
      <c r="E422" s="44" t="s">
        <v>130</v>
      </c>
      <c r="F422" s="44" t="s">
        <v>328</v>
      </c>
      <c r="G422" s="60"/>
      <c r="H422" s="120"/>
      <c r="I422" s="60"/>
      <c r="J422" s="120"/>
      <c r="K422" s="60"/>
      <c r="L422" s="145"/>
      <c r="M422" s="60"/>
      <c r="N422" s="145">
        <v>800</v>
      </c>
      <c r="O422" s="60">
        <f>M422+N422</f>
        <v>800</v>
      </c>
      <c r="P422" s="145">
        <v>1500</v>
      </c>
      <c r="Q422" s="60">
        <f>O422+P422</f>
        <v>2300</v>
      </c>
    </row>
    <row r="423" spans="2:17" ht="36.75" customHeight="1">
      <c r="B423" s="88" t="s">
        <v>324</v>
      </c>
      <c r="C423" s="44"/>
      <c r="D423" s="44" t="s">
        <v>84</v>
      </c>
      <c r="E423" s="44" t="s">
        <v>130</v>
      </c>
      <c r="F423" s="44" t="s">
        <v>329</v>
      </c>
      <c r="G423" s="60"/>
      <c r="H423" s="120"/>
      <c r="I423" s="60"/>
      <c r="J423" s="120"/>
      <c r="K423" s="60"/>
      <c r="L423" s="145"/>
      <c r="M423" s="60"/>
      <c r="N423" s="145">
        <v>800</v>
      </c>
      <c r="O423" s="60">
        <f>M423+N423</f>
        <v>800</v>
      </c>
      <c r="P423" s="145"/>
      <c r="Q423" s="60">
        <f>O423+P423</f>
        <v>800</v>
      </c>
    </row>
    <row r="424" spans="2:17" ht="15.75">
      <c r="B424" s="31" t="s">
        <v>334</v>
      </c>
      <c r="C424" s="44"/>
      <c r="D424" s="44" t="s">
        <v>84</v>
      </c>
      <c r="E424" s="44" t="s">
        <v>130</v>
      </c>
      <c r="F424" s="44" t="s">
        <v>335</v>
      </c>
      <c r="G424" s="60">
        <v>0</v>
      </c>
      <c r="H424" s="120">
        <v>214268</v>
      </c>
      <c r="I424" s="60">
        <f>G424+H424</f>
        <v>214268</v>
      </c>
      <c r="J424" s="120">
        <v>-44000</v>
      </c>
      <c r="K424" s="60">
        <f>I424+J424</f>
        <v>170268</v>
      </c>
      <c r="L424" s="145">
        <v>-32000</v>
      </c>
      <c r="M424" s="60">
        <f>K424+L424</f>
        <v>138268</v>
      </c>
      <c r="N424" s="145">
        <v>-1600</v>
      </c>
      <c r="O424" s="60">
        <f>M424+N424</f>
        <v>136668</v>
      </c>
      <c r="P424" s="145">
        <f>-5500+100000</f>
        <v>94500</v>
      </c>
      <c r="Q424" s="60">
        <f>O424+P424</f>
        <v>231168</v>
      </c>
    </row>
    <row r="425" spans="2:17" ht="31.5">
      <c r="B425" s="12" t="s">
        <v>229</v>
      </c>
      <c r="C425" s="6"/>
      <c r="D425" s="44" t="s">
        <v>84</v>
      </c>
      <c r="E425" s="6">
        <v>4320000</v>
      </c>
      <c r="F425" s="6"/>
      <c r="G425" s="60" t="e">
        <f>G426+G434</f>
        <v>#REF!</v>
      </c>
      <c r="H425" s="118"/>
      <c r="I425" s="60">
        <f>I426++I434</f>
        <v>11167287</v>
      </c>
      <c r="J425" s="118"/>
      <c r="K425" s="60">
        <f>K426++K434</f>
        <v>11432287</v>
      </c>
      <c r="L425" s="141"/>
      <c r="M425" s="60">
        <f>M426++M434</f>
        <v>11432287</v>
      </c>
      <c r="N425" s="141"/>
      <c r="O425" s="60">
        <f>O426++O434</f>
        <v>11099287</v>
      </c>
      <c r="P425" s="141"/>
      <c r="Q425" s="60">
        <f>Q426++Q434</f>
        <v>11099287</v>
      </c>
    </row>
    <row r="426" spans="2:17" ht="15.75">
      <c r="B426" s="12" t="s">
        <v>230</v>
      </c>
      <c r="C426" s="6"/>
      <c r="D426" s="44" t="s">
        <v>84</v>
      </c>
      <c r="E426" s="6" t="s">
        <v>131</v>
      </c>
      <c r="F426" s="6"/>
      <c r="G426" s="60" t="e">
        <f>G427+G428+G431</f>
        <v>#REF!</v>
      </c>
      <c r="H426" s="118"/>
      <c r="I426" s="60">
        <f>I427+I428+I431</f>
        <v>9274000</v>
      </c>
      <c r="J426" s="118"/>
      <c r="K426" s="60">
        <f>K427+K428+K431</f>
        <v>9784000</v>
      </c>
      <c r="L426" s="141"/>
      <c r="M426" s="60">
        <f>M427+M428+M431</f>
        <v>9784000</v>
      </c>
      <c r="N426" s="141"/>
      <c r="O426" s="60">
        <f>O427+O428+O431+O430+O429</f>
        <v>9784000</v>
      </c>
      <c r="P426" s="141"/>
      <c r="Q426" s="60">
        <f>Q427+Q428+Q431+Q430+Q429</f>
        <v>9784000</v>
      </c>
    </row>
    <row r="427" spans="2:17" ht="31.5" customHeight="1">
      <c r="B427" s="31" t="s">
        <v>382</v>
      </c>
      <c r="C427" s="44"/>
      <c r="D427" s="46" t="s">
        <v>84</v>
      </c>
      <c r="E427" s="46" t="s">
        <v>131</v>
      </c>
      <c r="F427" s="46" t="s">
        <v>328</v>
      </c>
      <c r="G427" s="60">
        <v>0</v>
      </c>
      <c r="H427" s="120">
        <v>1701600</v>
      </c>
      <c r="I427" s="60">
        <f>G427+H427</f>
        <v>1701600</v>
      </c>
      <c r="J427" s="120">
        <v>392000</v>
      </c>
      <c r="K427" s="60">
        <f>I427+J427</f>
        <v>2093600</v>
      </c>
      <c r="L427" s="145">
        <v>222993</v>
      </c>
      <c r="M427" s="60">
        <f>K427+L427</f>
        <v>2316593</v>
      </c>
      <c r="N427" s="145">
        <f>-310-66077</f>
        <v>-66387</v>
      </c>
      <c r="O427" s="60">
        <f>M427+N427</f>
        <v>2250206</v>
      </c>
      <c r="P427" s="145"/>
      <c r="Q427" s="60">
        <f>O427+P427</f>
        <v>2250206</v>
      </c>
    </row>
    <row r="428" spans="2:17" ht="64.5" customHeight="1">
      <c r="B428" s="31" t="s">
        <v>348</v>
      </c>
      <c r="C428" s="44"/>
      <c r="D428" s="46" t="s">
        <v>84</v>
      </c>
      <c r="E428" s="46" t="s">
        <v>131</v>
      </c>
      <c r="F428" s="46" t="s">
        <v>350</v>
      </c>
      <c r="G428" s="60">
        <v>0</v>
      </c>
      <c r="H428" s="120">
        <v>5432400</v>
      </c>
      <c r="I428" s="60">
        <f>G428+H428</f>
        <v>5432400</v>
      </c>
      <c r="J428" s="120">
        <v>0</v>
      </c>
      <c r="K428" s="60">
        <f>I428+J428</f>
        <v>5432400</v>
      </c>
      <c r="L428" s="145">
        <v>-222993</v>
      </c>
      <c r="M428" s="60">
        <f>K428+L428</f>
        <v>5209407</v>
      </c>
      <c r="N428" s="145">
        <f>310-5209717</f>
        <v>-5209407</v>
      </c>
      <c r="O428" s="60">
        <f>M428+N428</f>
        <v>0</v>
      </c>
      <c r="P428" s="145"/>
      <c r="Q428" s="60">
        <f>O428+P428</f>
        <v>0</v>
      </c>
    </row>
    <row r="429" spans="2:17" ht="64.5" customHeight="1">
      <c r="B429" s="96" t="s">
        <v>551</v>
      </c>
      <c r="C429" s="44"/>
      <c r="D429" s="46" t="s">
        <v>84</v>
      </c>
      <c r="E429" s="46" t="s">
        <v>131</v>
      </c>
      <c r="F429" s="98" t="s">
        <v>545</v>
      </c>
      <c r="G429" s="60"/>
      <c r="H429" s="120"/>
      <c r="I429" s="60"/>
      <c r="J429" s="120"/>
      <c r="K429" s="60"/>
      <c r="L429" s="145"/>
      <c r="M429" s="60"/>
      <c r="N429" s="145">
        <v>5209717</v>
      </c>
      <c r="O429" s="60">
        <f>M429+N429</f>
        <v>5209717</v>
      </c>
      <c r="P429" s="145"/>
      <c r="Q429" s="60">
        <f>O429+P429</f>
        <v>5209717</v>
      </c>
    </row>
    <row r="430" spans="2:17" ht="31.5">
      <c r="B430" s="96" t="s">
        <v>548</v>
      </c>
      <c r="C430" s="44"/>
      <c r="D430" s="46" t="s">
        <v>84</v>
      </c>
      <c r="E430" s="46" t="s">
        <v>131</v>
      </c>
      <c r="F430" s="98" t="s">
        <v>547</v>
      </c>
      <c r="G430" s="60"/>
      <c r="H430" s="120"/>
      <c r="I430" s="60"/>
      <c r="J430" s="120"/>
      <c r="K430" s="60"/>
      <c r="L430" s="145"/>
      <c r="M430" s="60"/>
      <c r="N430" s="145">
        <v>66077</v>
      </c>
      <c r="O430" s="60">
        <f>M430+N430</f>
        <v>66077</v>
      </c>
      <c r="P430" s="145"/>
      <c r="Q430" s="60">
        <f>O430+P430</f>
        <v>66077</v>
      </c>
    </row>
    <row r="431" spans="2:17" ht="17.25" customHeight="1">
      <c r="B431" s="12" t="s">
        <v>230</v>
      </c>
      <c r="C431" s="6"/>
      <c r="D431" s="44" t="s">
        <v>84</v>
      </c>
      <c r="E431" s="6" t="s">
        <v>270</v>
      </c>
      <c r="F431" s="6"/>
      <c r="G431" s="60" t="e">
        <f>G432+#REF!</f>
        <v>#REF!</v>
      </c>
      <c r="H431" s="118"/>
      <c r="I431" s="60">
        <f>I432</f>
        <v>2140000</v>
      </c>
      <c r="J431" s="118">
        <v>0</v>
      </c>
      <c r="K431" s="60">
        <f>K432</f>
        <v>2258000</v>
      </c>
      <c r="L431" s="141"/>
      <c r="M431" s="60">
        <f>M432</f>
        <v>2258000</v>
      </c>
      <c r="N431" s="141"/>
      <c r="O431" s="60">
        <f>O432+O433</f>
        <v>2258000</v>
      </c>
      <c r="P431" s="141"/>
      <c r="Q431" s="60">
        <f>Q432+Q433</f>
        <v>2258000</v>
      </c>
    </row>
    <row r="432" spans="2:17" ht="35.25" customHeight="1">
      <c r="B432" s="31" t="s">
        <v>382</v>
      </c>
      <c r="C432" s="6"/>
      <c r="D432" s="44" t="s">
        <v>84</v>
      </c>
      <c r="E432" s="44" t="s">
        <v>270</v>
      </c>
      <c r="F432" s="44" t="s">
        <v>328</v>
      </c>
      <c r="G432" s="60">
        <v>0</v>
      </c>
      <c r="H432" s="120">
        <v>2140000</v>
      </c>
      <c r="I432" s="60">
        <f>G432+H432</f>
        <v>2140000</v>
      </c>
      <c r="J432" s="120">
        <v>118000</v>
      </c>
      <c r="K432" s="60">
        <f>I432+J432</f>
        <v>2258000</v>
      </c>
      <c r="L432" s="145"/>
      <c r="M432" s="60">
        <f>K432+L432</f>
        <v>2258000</v>
      </c>
      <c r="N432" s="145">
        <f>-92603-13020.9</f>
        <v>-105623.9</v>
      </c>
      <c r="O432" s="60">
        <f>M432+N432</f>
        <v>2152376.1</v>
      </c>
      <c r="P432" s="145">
        <v>-9000</v>
      </c>
      <c r="Q432" s="60">
        <f>O432+P432</f>
        <v>2143376.1</v>
      </c>
    </row>
    <row r="433" spans="2:17" ht="35.25" customHeight="1">
      <c r="B433" s="96" t="s">
        <v>548</v>
      </c>
      <c r="C433" s="6"/>
      <c r="D433" s="44" t="s">
        <v>84</v>
      </c>
      <c r="E433" s="44" t="s">
        <v>270</v>
      </c>
      <c r="F433" s="44" t="s">
        <v>547</v>
      </c>
      <c r="G433" s="60"/>
      <c r="H433" s="120"/>
      <c r="I433" s="60"/>
      <c r="J433" s="120"/>
      <c r="K433" s="60"/>
      <c r="L433" s="145"/>
      <c r="M433" s="60"/>
      <c r="N433" s="145">
        <v>105623.9</v>
      </c>
      <c r="O433" s="60">
        <f>M433+N433</f>
        <v>105623.9</v>
      </c>
      <c r="P433" s="145">
        <v>9000</v>
      </c>
      <c r="Q433" s="60">
        <f>O433+P433</f>
        <v>114623.9</v>
      </c>
    </row>
    <row r="434" spans="2:17" ht="33.75" customHeight="1">
      <c r="B434" s="31" t="s">
        <v>79</v>
      </c>
      <c r="C434" s="6"/>
      <c r="D434" s="8" t="s">
        <v>84</v>
      </c>
      <c r="E434" s="46" t="s">
        <v>349</v>
      </c>
      <c r="F434" s="46"/>
      <c r="G434" s="60">
        <f>G435</f>
        <v>0</v>
      </c>
      <c r="H434" s="120"/>
      <c r="I434" s="60">
        <f>I435</f>
        <v>1893287</v>
      </c>
      <c r="J434" s="120"/>
      <c r="K434" s="60">
        <f>K435</f>
        <v>1648287</v>
      </c>
      <c r="L434" s="145"/>
      <c r="M434" s="60">
        <f>M435</f>
        <v>1648287</v>
      </c>
      <c r="N434" s="145"/>
      <c r="O434" s="60">
        <f>O435+O436</f>
        <v>1315287</v>
      </c>
      <c r="P434" s="145"/>
      <c r="Q434" s="60">
        <f>Q435+Q436</f>
        <v>1315287</v>
      </c>
    </row>
    <row r="435" spans="2:17" ht="62.25" customHeight="1">
      <c r="B435" s="31" t="s">
        <v>348</v>
      </c>
      <c r="C435" s="6"/>
      <c r="D435" s="8" t="s">
        <v>84</v>
      </c>
      <c r="E435" s="46" t="s">
        <v>349</v>
      </c>
      <c r="F435" s="46" t="s">
        <v>350</v>
      </c>
      <c r="G435" s="60">
        <v>0</v>
      </c>
      <c r="H435" s="120">
        <v>1893287</v>
      </c>
      <c r="I435" s="60">
        <f>G435+H435</f>
        <v>1893287</v>
      </c>
      <c r="J435" s="120">
        <v>-245000</v>
      </c>
      <c r="K435" s="60">
        <f>I435+J435</f>
        <v>1648287</v>
      </c>
      <c r="L435" s="145"/>
      <c r="M435" s="60">
        <f>K435+L435</f>
        <v>1648287</v>
      </c>
      <c r="N435" s="145">
        <f>-333000-440000</f>
        <v>-773000</v>
      </c>
      <c r="O435" s="60">
        <f>M435+N435</f>
        <v>875287</v>
      </c>
      <c r="P435" s="145">
        <v>-69534</v>
      </c>
      <c r="Q435" s="60">
        <f>O435+P435</f>
        <v>805753</v>
      </c>
    </row>
    <row r="436" spans="2:17" ht="62.25" customHeight="1">
      <c r="B436" s="96" t="s">
        <v>551</v>
      </c>
      <c r="C436" s="6"/>
      <c r="D436" s="8" t="s">
        <v>84</v>
      </c>
      <c r="E436" s="46" t="s">
        <v>349</v>
      </c>
      <c r="F436" s="98" t="s">
        <v>545</v>
      </c>
      <c r="G436" s="73"/>
      <c r="H436" s="120"/>
      <c r="I436" s="73"/>
      <c r="J436" s="120"/>
      <c r="K436" s="73"/>
      <c r="L436" s="145"/>
      <c r="M436" s="73"/>
      <c r="N436" s="145">
        <v>440000</v>
      </c>
      <c r="O436" s="73">
        <f>M436+N436</f>
        <v>440000</v>
      </c>
      <c r="P436" s="145">
        <v>69534</v>
      </c>
      <c r="Q436" s="73">
        <f>O436+P436</f>
        <v>509534</v>
      </c>
    </row>
    <row r="437" spans="2:17" ht="19.5" customHeight="1">
      <c r="B437" s="12" t="s">
        <v>313</v>
      </c>
      <c r="C437" s="6"/>
      <c r="D437" s="44" t="s">
        <v>84</v>
      </c>
      <c r="E437" s="6" t="s">
        <v>104</v>
      </c>
      <c r="F437" s="6"/>
      <c r="G437" s="73" t="e">
        <f>G438+G440+#REF!+G444</f>
        <v>#REF!</v>
      </c>
      <c r="H437" s="118"/>
      <c r="I437" s="73">
        <f>I438+I440+I444</f>
        <v>1419000</v>
      </c>
      <c r="J437" s="118">
        <v>0</v>
      </c>
      <c r="K437" s="73">
        <f>K438+K440+K444</f>
        <v>1419000</v>
      </c>
      <c r="L437" s="141"/>
      <c r="M437" s="73">
        <f>M438+M440+M442+M444</f>
        <v>1668600</v>
      </c>
      <c r="N437" s="141"/>
      <c r="O437" s="73">
        <f>O438+O440+O442+O444</f>
        <v>2001600</v>
      </c>
      <c r="P437" s="141"/>
      <c r="Q437" s="73">
        <f>Q438+Q440+Q442+Q444</f>
        <v>2005600</v>
      </c>
    </row>
    <row r="438" spans="2:17" ht="48" customHeight="1">
      <c r="B438" s="51" t="s">
        <v>301</v>
      </c>
      <c r="C438" s="6" t="s">
        <v>200</v>
      </c>
      <c r="D438" s="6" t="s">
        <v>84</v>
      </c>
      <c r="E438" s="6" t="s">
        <v>267</v>
      </c>
      <c r="F438" s="6"/>
      <c r="G438" s="72">
        <f>G439</f>
        <v>0</v>
      </c>
      <c r="H438" s="121"/>
      <c r="I438" s="72">
        <f>I439</f>
        <v>75000</v>
      </c>
      <c r="J438" s="121"/>
      <c r="K438" s="72">
        <f>K439</f>
        <v>152000</v>
      </c>
      <c r="L438" s="146"/>
      <c r="M438" s="72">
        <f>M439</f>
        <v>301600</v>
      </c>
      <c r="N438" s="146"/>
      <c r="O438" s="72">
        <f>O439</f>
        <v>301600</v>
      </c>
      <c r="P438" s="146"/>
      <c r="Q438" s="72">
        <f>Q439</f>
        <v>305600</v>
      </c>
    </row>
    <row r="439" spans="2:17" ht="32.25" customHeight="1">
      <c r="B439" s="31" t="s">
        <v>382</v>
      </c>
      <c r="C439" s="87" t="s">
        <v>200</v>
      </c>
      <c r="D439" s="44" t="s">
        <v>84</v>
      </c>
      <c r="E439" s="44" t="s">
        <v>267</v>
      </c>
      <c r="F439" s="44" t="s">
        <v>328</v>
      </c>
      <c r="G439" s="70">
        <v>0</v>
      </c>
      <c r="H439" s="122">
        <v>75000</v>
      </c>
      <c r="I439" s="70">
        <f>G439+H439</f>
        <v>75000</v>
      </c>
      <c r="J439" s="122">
        <v>77000</v>
      </c>
      <c r="K439" s="70">
        <f>I439+J439</f>
        <v>152000</v>
      </c>
      <c r="L439" s="147">
        <f>123200+26400</f>
        <v>149600</v>
      </c>
      <c r="M439" s="70">
        <f>K439+L439</f>
        <v>301600</v>
      </c>
      <c r="N439" s="147">
        <v>0</v>
      </c>
      <c r="O439" s="70">
        <f>M439+N439</f>
        <v>301600</v>
      </c>
      <c r="P439" s="147">
        <v>4000</v>
      </c>
      <c r="Q439" s="70">
        <f>O439+P439</f>
        <v>305600</v>
      </c>
    </row>
    <row r="440" spans="2:17" ht="50.25" customHeight="1" hidden="1">
      <c r="B440" s="51" t="s">
        <v>300</v>
      </c>
      <c r="C440" s="6"/>
      <c r="D440" s="6" t="s">
        <v>84</v>
      </c>
      <c r="E440" s="6" t="s">
        <v>268</v>
      </c>
      <c r="F440" s="6"/>
      <c r="G440" s="70">
        <f>G441</f>
        <v>0</v>
      </c>
      <c r="H440" s="121"/>
      <c r="I440" s="70">
        <f>I441</f>
        <v>77000</v>
      </c>
      <c r="J440" s="121"/>
      <c r="K440" s="70">
        <f>K441</f>
        <v>0</v>
      </c>
      <c r="L440" s="146"/>
      <c r="M440" s="70">
        <f>M441</f>
        <v>0</v>
      </c>
      <c r="N440" s="146"/>
      <c r="O440" s="70">
        <f>O441</f>
        <v>0</v>
      </c>
      <c r="P440" s="146"/>
      <c r="Q440" s="70">
        <f>Q441</f>
        <v>0</v>
      </c>
    </row>
    <row r="441" spans="2:17" ht="22.5" customHeight="1" hidden="1">
      <c r="B441" s="81" t="s">
        <v>334</v>
      </c>
      <c r="C441" s="44"/>
      <c r="D441" s="44" t="s">
        <v>84</v>
      </c>
      <c r="E441" s="44" t="s">
        <v>268</v>
      </c>
      <c r="F441" s="44" t="s">
        <v>335</v>
      </c>
      <c r="G441" s="70">
        <v>0</v>
      </c>
      <c r="H441" s="122">
        <v>77000</v>
      </c>
      <c r="I441" s="70">
        <f>G441+H441</f>
        <v>77000</v>
      </c>
      <c r="J441" s="122">
        <v>-77000</v>
      </c>
      <c r="K441" s="70">
        <f>I441+J441</f>
        <v>0</v>
      </c>
      <c r="L441" s="147"/>
      <c r="M441" s="70">
        <f>K441+L441</f>
        <v>0</v>
      </c>
      <c r="N441" s="147"/>
      <c r="O441" s="70">
        <f>M441+N441</f>
        <v>0</v>
      </c>
      <c r="P441" s="147"/>
      <c r="Q441" s="70">
        <f>O441+P441</f>
        <v>0</v>
      </c>
    </row>
    <row r="442" spans="2:17" ht="36" customHeight="1">
      <c r="B442" s="105" t="s">
        <v>486</v>
      </c>
      <c r="C442" s="44"/>
      <c r="D442" s="44" t="s">
        <v>84</v>
      </c>
      <c r="E442" s="44" t="s">
        <v>483</v>
      </c>
      <c r="F442" s="44"/>
      <c r="G442" s="70"/>
      <c r="H442" s="122"/>
      <c r="I442" s="70"/>
      <c r="J442" s="122"/>
      <c r="K442" s="70"/>
      <c r="L442" s="147"/>
      <c r="M442" s="70">
        <f>M443</f>
        <v>100000</v>
      </c>
      <c r="N442" s="147"/>
      <c r="O442" s="70">
        <f>O443</f>
        <v>100000</v>
      </c>
      <c r="P442" s="147"/>
      <c r="Q442" s="70">
        <f>Q443</f>
        <v>100000</v>
      </c>
    </row>
    <row r="443" spans="2:17" ht="33.75" customHeight="1">
      <c r="B443" s="96" t="s">
        <v>382</v>
      </c>
      <c r="C443" s="44"/>
      <c r="D443" s="44" t="s">
        <v>84</v>
      </c>
      <c r="E443" s="44" t="s">
        <v>483</v>
      </c>
      <c r="F443" s="44" t="s">
        <v>328</v>
      </c>
      <c r="G443" s="70"/>
      <c r="H443" s="122"/>
      <c r="I443" s="70"/>
      <c r="J443" s="122"/>
      <c r="K443" s="70"/>
      <c r="L443" s="147">
        <v>100000</v>
      </c>
      <c r="M443" s="70">
        <f>K443+L443</f>
        <v>100000</v>
      </c>
      <c r="N443" s="147">
        <v>0</v>
      </c>
      <c r="O443" s="70">
        <f>M443+N443</f>
        <v>100000</v>
      </c>
      <c r="P443" s="147"/>
      <c r="Q443" s="70">
        <f>O443+P443</f>
        <v>100000</v>
      </c>
    </row>
    <row r="444" spans="2:17" ht="100.5" customHeight="1">
      <c r="B444" s="23" t="s">
        <v>423</v>
      </c>
      <c r="C444" s="44"/>
      <c r="D444" s="44" t="s">
        <v>84</v>
      </c>
      <c r="E444" s="44" t="s">
        <v>289</v>
      </c>
      <c r="F444" s="44"/>
      <c r="G444" s="60">
        <f>G445</f>
        <v>0</v>
      </c>
      <c r="H444" s="120"/>
      <c r="I444" s="60">
        <f>I445</f>
        <v>1267000</v>
      </c>
      <c r="J444" s="120"/>
      <c r="K444" s="60">
        <f>K445</f>
        <v>1267000</v>
      </c>
      <c r="L444" s="145"/>
      <c r="M444" s="60">
        <f>M445</f>
        <v>1267000</v>
      </c>
      <c r="N444" s="145"/>
      <c r="O444" s="60">
        <f>O445+O446</f>
        <v>1600000</v>
      </c>
      <c r="P444" s="145"/>
      <c r="Q444" s="60">
        <f>Q445+Q446</f>
        <v>1600000</v>
      </c>
    </row>
    <row r="445" spans="2:17" ht="31.5">
      <c r="B445" s="31" t="s">
        <v>351</v>
      </c>
      <c r="C445" s="44"/>
      <c r="D445" s="44" t="s">
        <v>84</v>
      </c>
      <c r="E445" s="44" t="s">
        <v>289</v>
      </c>
      <c r="F445" s="101" t="s">
        <v>352</v>
      </c>
      <c r="G445" s="60">
        <v>0</v>
      </c>
      <c r="H445" s="120">
        <v>1267000</v>
      </c>
      <c r="I445" s="60">
        <f>G445+H445</f>
        <v>1267000</v>
      </c>
      <c r="J445" s="120">
        <v>0</v>
      </c>
      <c r="K445" s="60">
        <f>I445+J445</f>
        <v>1267000</v>
      </c>
      <c r="L445" s="145"/>
      <c r="M445" s="60">
        <f>K445+L445</f>
        <v>1267000</v>
      </c>
      <c r="N445" s="145">
        <f>333000-855000</f>
        <v>-522000</v>
      </c>
      <c r="O445" s="60">
        <f>M445+N445</f>
        <v>745000</v>
      </c>
      <c r="P445" s="145"/>
      <c r="Q445" s="60">
        <f>O445+P445</f>
        <v>745000</v>
      </c>
    </row>
    <row r="446" spans="2:17" ht="31.5">
      <c r="B446" s="96" t="s">
        <v>548</v>
      </c>
      <c r="C446" s="44"/>
      <c r="D446" s="44" t="s">
        <v>84</v>
      </c>
      <c r="E446" s="44" t="s">
        <v>289</v>
      </c>
      <c r="F446" s="101" t="s">
        <v>547</v>
      </c>
      <c r="G446" s="60"/>
      <c r="H446" s="120"/>
      <c r="I446" s="60"/>
      <c r="J446" s="120"/>
      <c r="K446" s="60"/>
      <c r="L446" s="145"/>
      <c r="M446" s="60"/>
      <c r="N446" s="145">
        <v>855000</v>
      </c>
      <c r="O446" s="60">
        <f>M446+N446</f>
        <v>855000</v>
      </c>
      <c r="P446" s="145"/>
      <c r="Q446" s="60">
        <f>O446+P446</f>
        <v>855000</v>
      </c>
    </row>
    <row r="447" spans="2:17" ht="37.5" customHeight="1">
      <c r="B447" s="96" t="s">
        <v>538</v>
      </c>
      <c r="C447" s="44"/>
      <c r="D447" s="44" t="s">
        <v>84</v>
      </c>
      <c r="E447" s="44" t="s">
        <v>539</v>
      </c>
      <c r="F447" s="101"/>
      <c r="G447" s="60"/>
      <c r="H447" s="120"/>
      <c r="I447" s="60"/>
      <c r="J447" s="120"/>
      <c r="K447" s="60"/>
      <c r="L447" s="145"/>
      <c r="M447" s="60"/>
      <c r="N447" s="145"/>
      <c r="O447" s="60">
        <f>O448</f>
        <v>299400</v>
      </c>
      <c r="P447" s="145"/>
      <c r="Q447" s="60">
        <f>Q448</f>
        <v>299400</v>
      </c>
    </row>
    <row r="448" spans="2:17" ht="99.75" customHeight="1">
      <c r="B448" s="96" t="s">
        <v>540</v>
      </c>
      <c r="C448" s="44"/>
      <c r="D448" s="44" t="s">
        <v>84</v>
      </c>
      <c r="E448" s="44" t="s">
        <v>541</v>
      </c>
      <c r="F448" s="101"/>
      <c r="G448" s="60"/>
      <c r="H448" s="120"/>
      <c r="I448" s="60"/>
      <c r="J448" s="120"/>
      <c r="K448" s="60"/>
      <c r="L448" s="145"/>
      <c r="M448" s="60"/>
      <c r="N448" s="145"/>
      <c r="O448" s="60">
        <f>O449</f>
        <v>299400</v>
      </c>
      <c r="P448" s="145"/>
      <c r="Q448" s="60">
        <f>Q449</f>
        <v>299400</v>
      </c>
    </row>
    <row r="449" spans="2:17" ht="36" customHeight="1">
      <c r="B449" s="96" t="s">
        <v>382</v>
      </c>
      <c r="C449" s="44"/>
      <c r="D449" s="44" t="s">
        <v>84</v>
      </c>
      <c r="E449" s="44" t="s">
        <v>541</v>
      </c>
      <c r="F449" s="101" t="s">
        <v>328</v>
      </c>
      <c r="G449" s="60"/>
      <c r="H449" s="120"/>
      <c r="I449" s="60"/>
      <c r="J449" s="120"/>
      <c r="K449" s="60"/>
      <c r="L449" s="145"/>
      <c r="M449" s="60"/>
      <c r="N449" s="145">
        <f>200200+99200</f>
        <v>299400</v>
      </c>
      <c r="O449" s="60">
        <f>M449+N449</f>
        <v>299400</v>
      </c>
      <c r="P449" s="145"/>
      <c r="Q449" s="60">
        <f>O449+P449</f>
        <v>299400</v>
      </c>
    </row>
    <row r="450" spans="2:17" ht="15.75">
      <c r="B450" s="23" t="s">
        <v>88</v>
      </c>
      <c r="C450" s="6"/>
      <c r="D450" s="44" t="s">
        <v>89</v>
      </c>
      <c r="E450" s="6"/>
      <c r="F450" s="6"/>
      <c r="G450" s="60" t="e">
        <f>G451+G459+G461+G466+G467</f>
        <v>#REF!</v>
      </c>
      <c r="H450" s="3"/>
      <c r="I450" s="60" t="e">
        <f>I451+I459+I461+I466+I467</f>
        <v>#REF!</v>
      </c>
      <c r="J450" s="3"/>
      <c r="K450" s="60">
        <f>K451+K459+K461+K466+K467</f>
        <v>15215492</v>
      </c>
      <c r="L450" s="133"/>
      <c r="M450" s="60">
        <f>M451+M459+M461+M467+M491</f>
        <v>16080661</v>
      </c>
      <c r="N450" s="133"/>
      <c r="O450" s="60">
        <f>O451+O459+O461+O467+O491</f>
        <v>20866661.130000003</v>
      </c>
      <c r="P450" s="133"/>
      <c r="Q450" s="60">
        <f>Q451+Q459+Q461+Q467+Q491</f>
        <v>21066661.130000003</v>
      </c>
    </row>
    <row r="451" spans="2:17" ht="49.5" customHeight="1">
      <c r="B451" s="12" t="s">
        <v>118</v>
      </c>
      <c r="C451" s="6"/>
      <c r="D451" s="44" t="s">
        <v>89</v>
      </c>
      <c r="E451" s="6" t="s">
        <v>119</v>
      </c>
      <c r="F451" s="6"/>
      <c r="G451" s="60">
        <f>G452</f>
        <v>0</v>
      </c>
      <c r="H451" s="3"/>
      <c r="I451" s="60">
        <f>I452</f>
        <v>2580900</v>
      </c>
      <c r="J451" s="3"/>
      <c r="K451" s="60">
        <f>K452</f>
        <v>2580900</v>
      </c>
      <c r="L451" s="133"/>
      <c r="M451" s="60">
        <f>M452</f>
        <v>2580900</v>
      </c>
      <c r="N451" s="133"/>
      <c r="O451" s="60">
        <f>O452</f>
        <v>2590900</v>
      </c>
      <c r="P451" s="133"/>
      <c r="Q451" s="60">
        <f>Q452</f>
        <v>2590900</v>
      </c>
    </row>
    <row r="452" spans="2:17" ht="15.75">
      <c r="B452" s="12" t="s">
        <v>9</v>
      </c>
      <c r="C452" s="6"/>
      <c r="D452" s="44" t="s">
        <v>89</v>
      </c>
      <c r="E452" s="6" t="s">
        <v>120</v>
      </c>
      <c r="F452" s="6"/>
      <c r="G452" s="60">
        <f>G453+G454+G455+G456+G457+G458</f>
        <v>0</v>
      </c>
      <c r="H452" s="118"/>
      <c r="I452" s="60">
        <f>I453+I454+I455+I456+I457+I458</f>
        <v>2580900</v>
      </c>
      <c r="J452" s="118"/>
      <c r="K452" s="60">
        <f>K453+K454+K455+K456+K457+K458</f>
        <v>2580900</v>
      </c>
      <c r="L452" s="141"/>
      <c r="M452" s="60">
        <f>M453+M454+M455+M456+M457+M458</f>
        <v>2580900</v>
      </c>
      <c r="N452" s="141"/>
      <c r="O452" s="60">
        <f>O453+O454+O455+O456+O457+O458</f>
        <v>2590900</v>
      </c>
      <c r="P452" s="141"/>
      <c r="Q452" s="60">
        <f>Q453+Q454+Q455+Q456+Q457+Q458</f>
        <v>2590900</v>
      </c>
    </row>
    <row r="453" spans="2:17" ht="15.75">
      <c r="B453" s="31" t="s">
        <v>320</v>
      </c>
      <c r="C453" s="6"/>
      <c r="D453" s="8" t="s">
        <v>89</v>
      </c>
      <c r="E453" s="8" t="s">
        <v>120</v>
      </c>
      <c r="F453" s="6" t="s">
        <v>325</v>
      </c>
      <c r="G453" s="79">
        <v>0</v>
      </c>
      <c r="H453" s="118">
        <v>487939</v>
      </c>
      <c r="I453" s="79">
        <f aca="true" t="shared" si="23" ref="I453:K458">G453+H453</f>
        <v>487939</v>
      </c>
      <c r="J453" s="118">
        <v>0</v>
      </c>
      <c r="K453" s="79">
        <f t="shared" si="23"/>
        <v>487939</v>
      </c>
      <c r="L453" s="141"/>
      <c r="M453" s="79">
        <f aca="true" t="shared" si="24" ref="M453:O458">K453+L453</f>
        <v>487939</v>
      </c>
      <c r="N453" s="141"/>
      <c r="O453" s="79">
        <f t="shared" si="24"/>
        <v>487939</v>
      </c>
      <c r="P453" s="141"/>
      <c r="Q453" s="79">
        <f aca="true" t="shared" si="25" ref="Q453:Q458">O453+P453</f>
        <v>487939</v>
      </c>
    </row>
    <row r="454" spans="2:17" ht="31.5">
      <c r="B454" s="31" t="s">
        <v>321</v>
      </c>
      <c r="C454" s="6"/>
      <c r="D454" s="8" t="s">
        <v>89</v>
      </c>
      <c r="E454" s="8" t="s">
        <v>120</v>
      </c>
      <c r="F454" s="6" t="s">
        <v>326</v>
      </c>
      <c r="G454" s="79">
        <v>0</v>
      </c>
      <c r="H454" s="118">
        <v>7200</v>
      </c>
      <c r="I454" s="79">
        <f t="shared" si="23"/>
        <v>7200</v>
      </c>
      <c r="J454" s="118">
        <v>0</v>
      </c>
      <c r="K454" s="79">
        <f t="shared" si="23"/>
        <v>7200</v>
      </c>
      <c r="L454" s="141"/>
      <c r="M454" s="79">
        <f t="shared" si="24"/>
        <v>7200</v>
      </c>
      <c r="N454" s="141"/>
      <c r="O454" s="79">
        <f t="shared" si="24"/>
        <v>7200</v>
      </c>
      <c r="P454" s="141"/>
      <c r="Q454" s="79">
        <f t="shared" si="25"/>
        <v>7200</v>
      </c>
    </row>
    <row r="455" spans="2:17" ht="15.75">
      <c r="B455" s="31" t="s">
        <v>320</v>
      </c>
      <c r="C455" s="6"/>
      <c r="D455" s="8" t="s">
        <v>89</v>
      </c>
      <c r="E455" s="8" t="s">
        <v>120</v>
      </c>
      <c r="F455" s="8" t="s">
        <v>353</v>
      </c>
      <c r="G455" s="79">
        <v>0</v>
      </c>
      <c r="H455" s="118">
        <v>1712519</v>
      </c>
      <c r="I455" s="79">
        <f t="shared" si="23"/>
        <v>1712519</v>
      </c>
      <c r="J455" s="118">
        <v>0</v>
      </c>
      <c r="K455" s="79">
        <f t="shared" si="23"/>
        <v>1712519</v>
      </c>
      <c r="L455" s="141"/>
      <c r="M455" s="79">
        <f t="shared" si="24"/>
        <v>1712519</v>
      </c>
      <c r="N455" s="141"/>
      <c r="O455" s="79">
        <f t="shared" si="24"/>
        <v>1712519</v>
      </c>
      <c r="P455" s="141"/>
      <c r="Q455" s="79">
        <f t="shared" si="25"/>
        <v>1712519</v>
      </c>
    </row>
    <row r="456" spans="2:17" ht="31.5">
      <c r="B456" s="31" t="s">
        <v>321</v>
      </c>
      <c r="C456" s="6"/>
      <c r="D456" s="8" t="s">
        <v>89</v>
      </c>
      <c r="E456" s="8" t="s">
        <v>120</v>
      </c>
      <c r="F456" s="8" t="s">
        <v>354</v>
      </c>
      <c r="G456" s="79">
        <v>0</v>
      </c>
      <c r="H456" s="118">
        <v>11000</v>
      </c>
      <c r="I456" s="79">
        <f t="shared" si="23"/>
        <v>11000</v>
      </c>
      <c r="J456" s="118">
        <v>0</v>
      </c>
      <c r="K456" s="79">
        <f t="shared" si="23"/>
        <v>11000</v>
      </c>
      <c r="L456" s="141"/>
      <c r="M456" s="79">
        <f t="shared" si="24"/>
        <v>11000</v>
      </c>
      <c r="N456" s="141"/>
      <c r="O456" s="79">
        <f t="shared" si="24"/>
        <v>11000</v>
      </c>
      <c r="P456" s="141"/>
      <c r="Q456" s="79">
        <f t="shared" si="25"/>
        <v>11000</v>
      </c>
    </row>
    <row r="457" spans="2:17" ht="47.25">
      <c r="B457" s="31" t="s">
        <v>322</v>
      </c>
      <c r="C457" s="6"/>
      <c r="D457" s="8" t="s">
        <v>89</v>
      </c>
      <c r="E457" s="8" t="s">
        <v>120</v>
      </c>
      <c r="F457" s="8" t="s">
        <v>327</v>
      </c>
      <c r="G457" s="79">
        <v>0</v>
      </c>
      <c r="H457" s="118">
        <v>62238</v>
      </c>
      <c r="I457" s="79">
        <f t="shared" si="23"/>
        <v>62238</v>
      </c>
      <c r="J457" s="118">
        <v>0</v>
      </c>
      <c r="K457" s="79">
        <f t="shared" si="23"/>
        <v>62238</v>
      </c>
      <c r="L457" s="141"/>
      <c r="M457" s="79">
        <f t="shared" si="24"/>
        <v>62238</v>
      </c>
      <c r="N457" s="141"/>
      <c r="O457" s="79">
        <f t="shared" si="24"/>
        <v>62238</v>
      </c>
      <c r="P457" s="141"/>
      <c r="Q457" s="79">
        <f t="shared" si="25"/>
        <v>62238</v>
      </c>
    </row>
    <row r="458" spans="2:17" ht="31.5">
      <c r="B458" s="31" t="s">
        <v>382</v>
      </c>
      <c r="C458" s="6"/>
      <c r="D458" s="8" t="s">
        <v>89</v>
      </c>
      <c r="E458" s="8" t="s">
        <v>120</v>
      </c>
      <c r="F458" s="8" t="s">
        <v>328</v>
      </c>
      <c r="G458" s="79">
        <v>0</v>
      </c>
      <c r="H458" s="118">
        <v>300004</v>
      </c>
      <c r="I458" s="79">
        <f t="shared" si="23"/>
        <v>300004</v>
      </c>
      <c r="J458" s="118">
        <v>0</v>
      </c>
      <c r="K458" s="79">
        <f t="shared" si="23"/>
        <v>300004</v>
      </c>
      <c r="L458" s="141"/>
      <c r="M458" s="79">
        <f t="shared" si="24"/>
        <v>300004</v>
      </c>
      <c r="N458" s="141">
        <v>10000</v>
      </c>
      <c r="O458" s="79">
        <f t="shared" si="24"/>
        <v>310004</v>
      </c>
      <c r="P458" s="141"/>
      <c r="Q458" s="79">
        <f t="shared" si="25"/>
        <v>310004</v>
      </c>
    </row>
    <row r="459" spans="2:17" ht="15.75">
      <c r="B459" s="12" t="s">
        <v>126</v>
      </c>
      <c r="C459" s="6"/>
      <c r="D459" s="44" t="s">
        <v>89</v>
      </c>
      <c r="E459" s="6" t="s">
        <v>127</v>
      </c>
      <c r="F459" s="6"/>
      <c r="G459" s="60">
        <f>G460</f>
        <v>0</v>
      </c>
      <c r="H459" s="118"/>
      <c r="I459" s="60">
        <f>I460</f>
        <v>350000</v>
      </c>
      <c r="J459" s="118">
        <v>0</v>
      </c>
      <c r="K459" s="60">
        <f>K460</f>
        <v>350000</v>
      </c>
      <c r="L459" s="141"/>
      <c r="M459" s="60">
        <f>M460</f>
        <v>350000</v>
      </c>
      <c r="N459" s="141"/>
      <c r="O459" s="60">
        <f>O460</f>
        <v>350000</v>
      </c>
      <c r="P459" s="141"/>
      <c r="Q459" s="60">
        <f>Q460</f>
        <v>350000</v>
      </c>
    </row>
    <row r="460" spans="2:17" ht="15.75" customHeight="1">
      <c r="B460" s="31" t="s">
        <v>334</v>
      </c>
      <c r="C460" s="6"/>
      <c r="D460" s="44" t="s">
        <v>89</v>
      </c>
      <c r="E460" s="6" t="s">
        <v>128</v>
      </c>
      <c r="F460" s="6" t="s">
        <v>335</v>
      </c>
      <c r="G460" s="60">
        <v>0</v>
      </c>
      <c r="H460" s="118">
        <v>350000</v>
      </c>
      <c r="I460" s="60">
        <f>G460+H460</f>
        <v>350000</v>
      </c>
      <c r="J460" s="118">
        <v>0</v>
      </c>
      <c r="K460" s="60">
        <f>I460+J460</f>
        <v>350000</v>
      </c>
      <c r="L460" s="141"/>
      <c r="M460" s="60">
        <f>K460+L460</f>
        <v>350000</v>
      </c>
      <c r="N460" s="141"/>
      <c r="O460" s="60">
        <f>M460+N460</f>
        <v>350000</v>
      </c>
      <c r="P460" s="141"/>
      <c r="Q460" s="60">
        <f>O460+P460</f>
        <v>350000</v>
      </c>
    </row>
    <row r="461" spans="2:17" ht="78.75">
      <c r="B461" s="12" t="s">
        <v>129</v>
      </c>
      <c r="C461" s="6"/>
      <c r="D461" s="44" t="s">
        <v>89</v>
      </c>
      <c r="E461" s="6">
        <v>4520000</v>
      </c>
      <c r="F461" s="6"/>
      <c r="G461" s="60" t="e">
        <f>G462+G463+G464+G465+#REF!</f>
        <v>#REF!</v>
      </c>
      <c r="H461" s="118"/>
      <c r="I461" s="60">
        <f>I462+I463+I464+I465</f>
        <v>5247185</v>
      </c>
      <c r="J461" s="118">
        <v>0</v>
      </c>
      <c r="K461" s="60">
        <f>K462+K463+K464+K465</f>
        <v>5247185</v>
      </c>
      <c r="L461" s="141"/>
      <c r="M461" s="60">
        <f>M462+M463+M464+M465+M466</f>
        <v>5247185</v>
      </c>
      <c r="N461" s="141"/>
      <c r="O461" s="60">
        <f>O462+O463+O464+O465+O466</f>
        <v>5247185</v>
      </c>
      <c r="P461" s="141"/>
      <c r="Q461" s="60">
        <f>Q462+Q463+Q464+Q465+Q466</f>
        <v>5247185</v>
      </c>
    </row>
    <row r="462" spans="2:17" ht="18.75" customHeight="1">
      <c r="B462" s="31" t="s">
        <v>320</v>
      </c>
      <c r="C462" s="6"/>
      <c r="D462" s="8" t="s">
        <v>89</v>
      </c>
      <c r="E462" s="8" t="s">
        <v>121</v>
      </c>
      <c r="F462" s="8" t="s">
        <v>325</v>
      </c>
      <c r="G462" s="79">
        <v>0</v>
      </c>
      <c r="H462" s="118">
        <v>4187391</v>
      </c>
      <c r="I462" s="79">
        <f>G462+H462</f>
        <v>4187391</v>
      </c>
      <c r="J462" s="118">
        <v>0</v>
      </c>
      <c r="K462" s="79">
        <f>I462+J462</f>
        <v>4187391</v>
      </c>
      <c r="L462" s="141"/>
      <c r="M462" s="79">
        <f>K462+L462</f>
        <v>4187391</v>
      </c>
      <c r="N462" s="141"/>
      <c r="O462" s="79">
        <f>M462+N462</f>
        <v>4187391</v>
      </c>
      <c r="P462" s="141"/>
      <c r="Q462" s="79">
        <f>O462+P462</f>
        <v>4187391</v>
      </c>
    </row>
    <row r="463" spans="2:17" ht="31.5" customHeight="1">
      <c r="B463" s="31" t="s">
        <v>321</v>
      </c>
      <c r="C463" s="6"/>
      <c r="D463" s="8" t="s">
        <v>89</v>
      </c>
      <c r="E463" s="8">
        <v>4520000</v>
      </c>
      <c r="F463" s="8" t="s">
        <v>326</v>
      </c>
      <c r="G463" s="79">
        <v>0</v>
      </c>
      <c r="H463" s="118">
        <v>19000</v>
      </c>
      <c r="I463" s="79">
        <f>G463+H463</f>
        <v>19000</v>
      </c>
      <c r="J463" s="118">
        <v>0</v>
      </c>
      <c r="K463" s="79">
        <f>I463+J463</f>
        <v>19000</v>
      </c>
      <c r="L463" s="141"/>
      <c r="M463" s="79">
        <f>K463+L463</f>
        <v>19000</v>
      </c>
      <c r="N463" s="141"/>
      <c r="O463" s="79">
        <f>M463+N463</f>
        <v>19000</v>
      </c>
      <c r="P463" s="141"/>
      <c r="Q463" s="79">
        <f>O463+P463</f>
        <v>19000</v>
      </c>
    </row>
    <row r="464" spans="2:17" ht="47.25">
      <c r="B464" s="31" t="s">
        <v>322</v>
      </c>
      <c r="C464" s="6"/>
      <c r="D464" s="8" t="s">
        <v>89</v>
      </c>
      <c r="E464" s="8" t="s">
        <v>121</v>
      </c>
      <c r="F464" s="8" t="s">
        <v>327</v>
      </c>
      <c r="G464" s="79">
        <v>0</v>
      </c>
      <c r="H464" s="118">
        <v>432052</v>
      </c>
      <c r="I464" s="79">
        <f>G464+H464</f>
        <v>432052</v>
      </c>
      <c r="J464" s="118">
        <v>0</v>
      </c>
      <c r="K464" s="79">
        <f>I464+J464</f>
        <v>432052</v>
      </c>
      <c r="L464" s="141"/>
      <c r="M464" s="79">
        <f>K464+L464</f>
        <v>432052</v>
      </c>
      <c r="N464" s="141">
        <v>-407</v>
      </c>
      <c r="O464" s="79">
        <f>M464+N464</f>
        <v>431645</v>
      </c>
      <c r="P464" s="141"/>
      <c r="Q464" s="79">
        <f>O464+P464</f>
        <v>431645</v>
      </c>
    </row>
    <row r="465" spans="2:17" ht="33" customHeight="1">
      <c r="B465" s="31" t="s">
        <v>382</v>
      </c>
      <c r="C465" s="6"/>
      <c r="D465" s="8" t="s">
        <v>89</v>
      </c>
      <c r="E465" s="8">
        <v>4520000</v>
      </c>
      <c r="F465" s="8" t="s">
        <v>328</v>
      </c>
      <c r="G465" s="79">
        <v>0</v>
      </c>
      <c r="H465" s="118">
        <v>608742</v>
      </c>
      <c r="I465" s="79">
        <f>G465+H465</f>
        <v>608742</v>
      </c>
      <c r="J465" s="118">
        <v>0</v>
      </c>
      <c r="K465" s="79">
        <f>I465+J465</f>
        <v>608742</v>
      </c>
      <c r="L465" s="141">
        <v>-16500</v>
      </c>
      <c r="M465" s="79">
        <f>K465+L465</f>
        <v>592242</v>
      </c>
      <c r="N465" s="141">
        <v>407</v>
      </c>
      <c r="O465" s="79">
        <f>M465+N465</f>
        <v>592649</v>
      </c>
      <c r="P465" s="141"/>
      <c r="Q465" s="79">
        <f>O465+P465</f>
        <v>592649</v>
      </c>
    </row>
    <row r="466" spans="2:17" ht="35.25" customHeight="1">
      <c r="B466" s="96" t="s">
        <v>324</v>
      </c>
      <c r="C466" s="44"/>
      <c r="D466" s="98" t="s">
        <v>89</v>
      </c>
      <c r="E466" s="8">
        <v>4520000</v>
      </c>
      <c r="F466" s="98" t="s">
        <v>329</v>
      </c>
      <c r="G466" s="79" t="e">
        <f>#REF!</f>
        <v>#REF!</v>
      </c>
      <c r="H466" s="118"/>
      <c r="I466" s="79" t="e">
        <f>#REF!</f>
        <v>#REF!</v>
      </c>
      <c r="J466" s="118"/>
      <c r="K466" s="79"/>
      <c r="L466" s="141">
        <v>16500</v>
      </c>
      <c r="M466" s="79">
        <f>K466+L466</f>
        <v>16500</v>
      </c>
      <c r="N466" s="141">
        <v>0</v>
      </c>
      <c r="O466" s="79">
        <f>M466+N466</f>
        <v>16500</v>
      </c>
      <c r="P466" s="141"/>
      <c r="Q466" s="79">
        <f>O466+P466</f>
        <v>16500</v>
      </c>
    </row>
    <row r="467" spans="2:17" ht="18.75" customHeight="1">
      <c r="B467" s="12" t="s">
        <v>313</v>
      </c>
      <c r="C467" s="6"/>
      <c r="D467" s="44" t="s">
        <v>89</v>
      </c>
      <c r="E467" s="6" t="s">
        <v>104</v>
      </c>
      <c r="F467" s="6"/>
      <c r="G467" s="60" t="e">
        <f>G468+G470+#REF!+G481+G484+#REF!+G488</f>
        <v>#REF!</v>
      </c>
      <c r="H467" s="118"/>
      <c r="I467" s="60">
        <f>I468+I470+I481+I484+I488+I474+I472</f>
        <v>5837020</v>
      </c>
      <c r="J467" s="118"/>
      <c r="K467" s="60">
        <f>K468+K470+K481+K484+K488+K474+K472+K479</f>
        <v>7037407</v>
      </c>
      <c r="L467" s="141"/>
      <c r="M467" s="60">
        <f>M468+M470+M481+M484+M488+M474+M472+M479</f>
        <v>7680334</v>
      </c>
      <c r="N467" s="141"/>
      <c r="O467" s="60">
        <f>O468+O470+O481+O484+O488+O474+O472+O479+O486</f>
        <v>12456334.13</v>
      </c>
      <c r="P467" s="141"/>
      <c r="Q467" s="60">
        <f>Q468+Q470+Q481+Q484+Q488+Q474+Q472+Q479+Q486</f>
        <v>12656334.13</v>
      </c>
    </row>
    <row r="468" spans="2:17" ht="18.75" customHeight="1">
      <c r="B468" s="109" t="s">
        <v>460</v>
      </c>
      <c r="C468" s="6"/>
      <c r="D468" s="6" t="s">
        <v>89</v>
      </c>
      <c r="E468" s="6" t="s">
        <v>356</v>
      </c>
      <c r="F468" s="6"/>
      <c r="G468" s="60">
        <f>G469</f>
        <v>0</v>
      </c>
      <c r="H468" s="118"/>
      <c r="I468" s="60">
        <f>I469</f>
        <v>300000</v>
      </c>
      <c r="J468" s="118"/>
      <c r="K468" s="60">
        <f>K469</f>
        <v>300000</v>
      </c>
      <c r="L468" s="141"/>
      <c r="M468" s="60">
        <f>M469</f>
        <v>300000</v>
      </c>
      <c r="N468" s="141"/>
      <c r="O468" s="60">
        <f>O469</f>
        <v>300000</v>
      </c>
      <c r="P468" s="141"/>
      <c r="Q468" s="60">
        <f>Q469</f>
        <v>300000</v>
      </c>
    </row>
    <row r="469" spans="2:17" ht="34.5" customHeight="1">
      <c r="B469" s="31" t="s">
        <v>382</v>
      </c>
      <c r="C469" s="6"/>
      <c r="D469" s="6" t="s">
        <v>89</v>
      </c>
      <c r="E469" s="6" t="s">
        <v>356</v>
      </c>
      <c r="F469" s="6" t="s">
        <v>328</v>
      </c>
      <c r="G469" s="60">
        <v>0</v>
      </c>
      <c r="H469" s="118">
        <v>300000</v>
      </c>
      <c r="I469" s="60">
        <f>G469+H469</f>
        <v>300000</v>
      </c>
      <c r="J469" s="118">
        <v>0</v>
      </c>
      <c r="K469" s="60">
        <f>I469+J469</f>
        <v>300000</v>
      </c>
      <c r="L469" s="141"/>
      <c r="M469" s="60">
        <f>K469+L469</f>
        <v>300000</v>
      </c>
      <c r="N469" s="141"/>
      <c r="O469" s="60">
        <f>M469+N469</f>
        <v>300000</v>
      </c>
      <c r="P469" s="141"/>
      <c r="Q469" s="60">
        <f>O469+P469</f>
        <v>300000</v>
      </c>
    </row>
    <row r="470" spans="2:17" ht="0.75" customHeight="1" hidden="1">
      <c r="B470" s="23" t="s">
        <v>314</v>
      </c>
      <c r="C470" s="44"/>
      <c r="D470" s="44" t="s">
        <v>89</v>
      </c>
      <c r="E470" s="44" t="s">
        <v>260</v>
      </c>
      <c r="F470" s="44"/>
      <c r="G470" s="60" t="e">
        <f>#REF!+G471</f>
        <v>#REF!</v>
      </c>
      <c r="H470" s="120"/>
      <c r="I470" s="60">
        <f>I471</f>
        <v>56500</v>
      </c>
      <c r="J470" s="120"/>
      <c r="K470" s="60">
        <f>K471</f>
        <v>0</v>
      </c>
      <c r="L470" s="145"/>
      <c r="M470" s="60">
        <f>M471</f>
        <v>0</v>
      </c>
      <c r="N470" s="145"/>
      <c r="O470" s="60">
        <f>O471</f>
        <v>0</v>
      </c>
      <c r="P470" s="145"/>
      <c r="Q470" s="60">
        <f>Q471</f>
        <v>0</v>
      </c>
    </row>
    <row r="471" spans="2:17" ht="17.25" customHeight="1" hidden="1">
      <c r="B471" s="31" t="s">
        <v>334</v>
      </c>
      <c r="C471" s="44"/>
      <c r="D471" s="6" t="s">
        <v>89</v>
      </c>
      <c r="E471" s="6" t="s">
        <v>260</v>
      </c>
      <c r="F471" s="6" t="s">
        <v>335</v>
      </c>
      <c r="G471" s="79">
        <v>0</v>
      </c>
      <c r="H471" s="120">
        <v>56500</v>
      </c>
      <c r="I471" s="79">
        <f>G471+H471</f>
        <v>56500</v>
      </c>
      <c r="J471" s="120">
        <v>-56500</v>
      </c>
      <c r="K471" s="79">
        <f>I471+J471</f>
        <v>0</v>
      </c>
      <c r="L471" s="145"/>
      <c r="M471" s="79">
        <f>K471+L471</f>
        <v>0</v>
      </c>
      <c r="N471" s="145"/>
      <c r="O471" s="79">
        <f>M471+N471</f>
        <v>0</v>
      </c>
      <c r="P471" s="145"/>
      <c r="Q471" s="79">
        <f>O471+P471</f>
        <v>0</v>
      </c>
    </row>
    <row r="472" spans="2:17" ht="49.5" customHeight="1">
      <c r="B472" s="96" t="s">
        <v>472</v>
      </c>
      <c r="C472" s="44"/>
      <c r="D472" s="6" t="s">
        <v>89</v>
      </c>
      <c r="E472" s="103" t="s">
        <v>262</v>
      </c>
      <c r="F472" s="6"/>
      <c r="G472" s="79"/>
      <c r="H472" s="120"/>
      <c r="I472" s="79">
        <f>I473</f>
        <v>130520</v>
      </c>
      <c r="J472" s="120"/>
      <c r="K472" s="79">
        <f>K473</f>
        <v>130520</v>
      </c>
      <c r="L472" s="145"/>
      <c r="M472" s="79">
        <f>M473</f>
        <v>93447</v>
      </c>
      <c r="N472" s="145"/>
      <c r="O472" s="79">
        <f>O473</f>
        <v>95247.13</v>
      </c>
      <c r="P472" s="145"/>
      <c r="Q472" s="79">
        <f>Q473</f>
        <v>95247.13</v>
      </c>
    </row>
    <row r="473" spans="2:17" ht="48" customHeight="1">
      <c r="B473" s="31" t="s">
        <v>322</v>
      </c>
      <c r="C473" s="44"/>
      <c r="D473" s="6" t="s">
        <v>89</v>
      </c>
      <c r="E473" s="103" t="s">
        <v>262</v>
      </c>
      <c r="F473" s="103" t="s">
        <v>327</v>
      </c>
      <c r="G473" s="79"/>
      <c r="H473" s="120">
        <v>130520</v>
      </c>
      <c r="I473" s="79">
        <f>H473</f>
        <v>130520</v>
      </c>
      <c r="J473" s="120">
        <v>0</v>
      </c>
      <c r="K473" s="79">
        <f>I473+J473</f>
        <v>130520</v>
      </c>
      <c r="L473" s="145">
        <v>-37073</v>
      </c>
      <c r="M473" s="79">
        <f>K473+L473</f>
        <v>93447</v>
      </c>
      <c r="N473" s="145">
        <v>1800.13</v>
      </c>
      <c r="O473" s="79">
        <f>M473+N473</f>
        <v>95247.13</v>
      </c>
      <c r="P473" s="145"/>
      <c r="Q473" s="79">
        <f>O473+P473</f>
        <v>95247.13</v>
      </c>
    </row>
    <row r="474" spans="2:17" ht="63">
      <c r="B474" s="125" t="s">
        <v>571</v>
      </c>
      <c r="C474" s="124"/>
      <c r="D474" s="101" t="s">
        <v>89</v>
      </c>
      <c r="E474" s="101" t="s">
        <v>473</v>
      </c>
      <c r="F474" s="44"/>
      <c r="G474" s="79"/>
      <c r="H474" s="120"/>
      <c r="I474" s="79">
        <f>I475</f>
        <v>0</v>
      </c>
      <c r="J474" s="120"/>
      <c r="K474" s="79">
        <f>K475</f>
        <v>1024887</v>
      </c>
      <c r="L474" s="145"/>
      <c r="M474" s="79">
        <f>M475+M478</f>
        <v>1219887</v>
      </c>
      <c r="N474" s="145"/>
      <c r="O474" s="79">
        <f>O475+O478+O476+O477</f>
        <v>5939887</v>
      </c>
      <c r="P474" s="145"/>
      <c r="Q474" s="79">
        <f>Q475+Q478+Q476+Q477</f>
        <v>6139887</v>
      </c>
    </row>
    <row r="475" spans="2:17" ht="36.75" customHeight="1">
      <c r="B475" s="96" t="s">
        <v>382</v>
      </c>
      <c r="C475" s="44"/>
      <c r="D475" s="101" t="s">
        <v>89</v>
      </c>
      <c r="E475" s="101" t="s">
        <v>473</v>
      </c>
      <c r="F475" s="101" t="s">
        <v>328</v>
      </c>
      <c r="G475" s="79"/>
      <c r="H475" s="120">
        <v>232000</v>
      </c>
      <c r="I475" s="79"/>
      <c r="J475" s="120">
        <v>1024887</v>
      </c>
      <c r="K475" s="79">
        <f>I475+J475</f>
        <v>1024887</v>
      </c>
      <c r="L475" s="145">
        <v>155879</v>
      </c>
      <c r="M475" s="79">
        <f>K475+L475</f>
        <v>1180766</v>
      </c>
      <c r="N475" s="145">
        <v>-1000000</v>
      </c>
      <c r="O475" s="79">
        <f>M475+N475</f>
        <v>180766</v>
      </c>
      <c r="P475" s="145"/>
      <c r="Q475" s="79">
        <f>O475+P475</f>
        <v>180766</v>
      </c>
    </row>
    <row r="476" spans="2:17" ht="47.25">
      <c r="B476" s="96" t="s">
        <v>549</v>
      </c>
      <c r="C476" s="124"/>
      <c r="D476" s="101" t="s">
        <v>89</v>
      </c>
      <c r="E476" s="101" t="s">
        <v>473</v>
      </c>
      <c r="F476" s="101" t="s">
        <v>383</v>
      </c>
      <c r="G476" s="79"/>
      <c r="H476" s="120"/>
      <c r="I476" s="79"/>
      <c r="J476" s="120"/>
      <c r="K476" s="79"/>
      <c r="L476" s="145"/>
      <c r="M476" s="79"/>
      <c r="N476" s="145">
        <v>3720000</v>
      </c>
      <c r="O476" s="79">
        <f>M476+N476</f>
        <v>3720000</v>
      </c>
      <c r="P476" s="145"/>
      <c r="Q476" s="79">
        <f>O476+P476</f>
        <v>3720000</v>
      </c>
    </row>
    <row r="477" spans="2:17" ht="47.25">
      <c r="B477" s="96" t="s">
        <v>550</v>
      </c>
      <c r="C477" s="124"/>
      <c r="D477" s="101" t="s">
        <v>89</v>
      </c>
      <c r="E477" s="101" t="s">
        <v>473</v>
      </c>
      <c r="F477" s="101" t="s">
        <v>544</v>
      </c>
      <c r="G477" s="79"/>
      <c r="H477" s="120"/>
      <c r="I477" s="79"/>
      <c r="J477" s="120"/>
      <c r="K477" s="79"/>
      <c r="L477" s="145"/>
      <c r="M477" s="79"/>
      <c r="N477" s="145">
        <v>2000000</v>
      </c>
      <c r="O477" s="79">
        <f>M477+N477</f>
        <v>2000000</v>
      </c>
      <c r="P477" s="145"/>
      <c r="Q477" s="79">
        <f>O477+P477</f>
        <v>2000000</v>
      </c>
    </row>
    <row r="478" spans="2:17" ht="36.75" customHeight="1">
      <c r="B478" s="31" t="s">
        <v>351</v>
      </c>
      <c r="C478" s="124"/>
      <c r="D478" s="101" t="s">
        <v>89</v>
      </c>
      <c r="E478" s="101" t="s">
        <v>473</v>
      </c>
      <c r="F478" s="101" t="s">
        <v>352</v>
      </c>
      <c r="G478" s="79"/>
      <c r="H478" s="120"/>
      <c r="I478" s="79"/>
      <c r="J478" s="120"/>
      <c r="K478" s="79"/>
      <c r="L478" s="145">
        <v>39121</v>
      </c>
      <c r="M478" s="79">
        <f>K478+L478</f>
        <v>39121</v>
      </c>
      <c r="N478" s="145"/>
      <c r="O478" s="79">
        <f>M478+N478</f>
        <v>39121</v>
      </c>
      <c r="P478" s="145">
        <v>200000</v>
      </c>
      <c r="Q478" s="79">
        <f>O478+P478</f>
        <v>239121</v>
      </c>
    </row>
    <row r="479" spans="2:17" ht="110.25">
      <c r="B479" s="125" t="s">
        <v>572</v>
      </c>
      <c r="C479" s="124"/>
      <c r="D479" s="101" t="s">
        <v>89</v>
      </c>
      <c r="E479" s="101" t="s">
        <v>268</v>
      </c>
      <c r="F479" s="44"/>
      <c r="G479" s="79"/>
      <c r="H479" s="120"/>
      <c r="I479" s="79">
        <f>I480</f>
        <v>232000</v>
      </c>
      <c r="J479" s="120"/>
      <c r="K479" s="79">
        <f>K480</f>
        <v>232000</v>
      </c>
      <c r="L479" s="145"/>
      <c r="M479" s="79">
        <f>M480</f>
        <v>232000</v>
      </c>
      <c r="N479" s="145"/>
      <c r="O479" s="79">
        <f>O480</f>
        <v>232000</v>
      </c>
      <c r="P479" s="145"/>
      <c r="Q479" s="79">
        <f>Q480</f>
        <v>232000</v>
      </c>
    </row>
    <row r="480" spans="2:17" ht="36.75" customHeight="1">
      <c r="B480" s="96" t="s">
        <v>382</v>
      </c>
      <c r="C480" s="44"/>
      <c r="D480" s="101" t="s">
        <v>89</v>
      </c>
      <c r="E480" s="101" t="s">
        <v>268</v>
      </c>
      <c r="F480" s="101" t="s">
        <v>328</v>
      </c>
      <c r="G480" s="79"/>
      <c r="H480" s="120">
        <v>232000</v>
      </c>
      <c r="I480" s="79">
        <v>232000</v>
      </c>
      <c r="J480" s="120">
        <v>0</v>
      </c>
      <c r="K480" s="79">
        <f>I480+J480</f>
        <v>232000</v>
      </c>
      <c r="L480" s="145"/>
      <c r="M480" s="79">
        <f>K480+L480</f>
        <v>232000</v>
      </c>
      <c r="N480" s="145"/>
      <c r="O480" s="79">
        <f>M480+N480</f>
        <v>232000</v>
      </c>
      <c r="P480" s="145"/>
      <c r="Q480" s="79">
        <f>O480+P480</f>
        <v>232000</v>
      </c>
    </row>
    <row r="481" spans="2:17" ht="66" customHeight="1">
      <c r="B481" s="23" t="s">
        <v>315</v>
      </c>
      <c r="C481" s="44"/>
      <c r="D481" s="44" t="s">
        <v>89</v>
      </c>
      <c r="E481" s="44" t="s">
        <v>269</v>
      </c>
      <c r="F481" s="44"/>
      <c r="G481" s="60">
        <f>G482</f>
        <v>0</v>
      </c>
      <c r="H481" s="120"/>
      <c r="I481" s="60">
        <f>I482</f>
        <v>600000</v>
      </c>
      <c r="J481" s="120"/>
      <c r="K481" s="60">
        <f>K482</f>
        <v>600000</v>
      </c>
      <c r="L481" s="145"/>
      <c r="M481" s="60">
        <f>M482</f>
        <v>600000</v>
      </c>
      <c r="N481" s="145"/>
      <c r="O481" s="60">
        <f>O482+O483</f>
        <v>600000</v>
      </c>
      <c r="P481" s="145"/>
      <c r="Q481" s="60">
        <f>Q482+Q483</f>
        <v>600000</v>
      </c>
    </row>
    <row r="482" spans="2:17" ht="35.25" customHeight="1">
      <c r="B482" s="31" t="s">
        <v>382</v>
      </c>
      <c r="C482" s="44"/>
      <c r="D482" s="44" t="s">
        <v>89</v>
      </c>
      <c r="E482" s="44" t="s">
        <v>269</v>
      </c>
      <c r="F482" s="44" t="s">
        <v>328</v>
      </c>
      <c r="G482" s="60">
        <v>0</v>
      </c>
      <c r="H482" s="120">
        <v>600000</v>
      </c>
      <c r="I482" s="60">
        <f>G482+H482</f>
        <v>600000</v>
      </c>
      <c r="J482" s="120">
        <v>0</v>
      </c>
      <c r="K482" s="60">
        <f>I482+J482</f>
        <v>600000</v>
      </c>
      <c r="L482" s="145"/>
      <c r="M482" s="60">
        <f>K482+L482</f>
        <v>600000</v>
      </c>
      <c r="N482" s="145">
        <v>-23750</v>
      </c>
      <c r="O482" s="60">
        <f>M482+N482</f>
        <v>576250</v>
      </c>
      <c r="P482" s="145"/>
      <c r="Q482" s="60">
        <f>O482+P482</f>
        <v>576250</v>
      </c>
    </row>
    <row r="483" spans="2:17" ht="35.25" customHeight="1">
      <c r="B483" s="96" t="s">
        <v>548</v>
      </c>
      <c r="C483" s="44"/>
      <c r="D483" s="44" t="s">
        <v>89</v>
      </c>
      <c r="E483" s="44" t="s">
        <v>269</v>
      </c>
      <c r="F483" s="44" t="s">
        <v>547</v>
      </c>
      <c r="G483" s="60"/>
      <c r="H483" s="120"/>
      <c r="I483" s="60"/>
      <c r="J483" s="120"/>
      <c r="K483" s="60"/>
      <c r="L483" s="145"/>
      <c r="M483" s="60"/>
      <c r="N483" s="145">
        <v>23750</v>
      </c>
      <c r="O483" s="60">
        <f>M483+N483</f>
        <v>23750</v>
      </c>
      <c r="P483" s="145"/>
      <c r="Q483" s="60">
        <f>O483+P483</f>
        <v>23750</v>
      </c>
    </row>
    <row r="484" spans="2:17" ht="81.75" customHeight="1">
      <c r="B484" s="23" t="s">
        <v>316</v>
      </c>
      <c r="C484" s="44"/>
      <c r="D484" s="44" t="s">
        <v>89</v>
      </c>
      <c r="E484" s="44" t="s">
        <v>288</v>
      </c>
      <c r="F484" s="44"/>
      <c r="G484" s="60" t="e">
        <f>#REF!+G485</f>
        <v>#REF!</v>
      </c>
      <c r="H484" s="120"/>
      <c r="I484" s="60">
        <f>I485</f>
        <v>1750000</v>
      </c>
      <c r="J484" s="120"/>
      <c r="K484" s="60">
        <f>K485</f>
        <v>1750000</v>
      </c>
      <c r="L484" s="145"/>
      <c r="M484" s="60">
        <f>M485</f>
        <v>1750000</v>
      </c>
      <c r="N484" s="145"/>
      <c r="O484" s="60">
        <f>O485</f>
        <v>1750000</v>
      </c>
      <c r="P484" s="145"/>
      <c r="Q484" s="60">
        <f>Q485</f>
        <v>1750000</v>
      </c>
    </row>
    <row r="485" spans="2:17" ht="32.25" customHeight="1">
      <c r="B485" s="31" t="s">
        <v>382</v>
      </c>
      <c r="C485" s="44"/>
      <c r="D485" s="44" t="s">
        <v>89</v>
      </c>
      <c r="E485" s="44" t="s">
        <v>288</v>
      </c>
      <c r="F485" s="44" t="s">
        <v>328</v>
      </c>
      <c r="G485" s="79">
        <v>0</v>
      </c>
      <c r="H485" s="120">
        <v>1750000</v>
      </c>
      <c r="I485" s="79">
        <f>G485+H485</f>
        <v>1750000</v>
      </c>
      <c r="J485" s="120">
        <v>0</v>
      </c>
      <c r="K485" s="79">
        <f>I485+J485</f>
        <v>1750000</v>
      </c>
      <c r="L485" s="145"/>
      <c r="M485" s="79">
        <f>K485+L485</f>
        <v>1750000</v>
      </c>
      <c r="N485" s="145"/>
      <c r="O485" s="79">
        <f>M485+N485</f>
        <v>1750000</v>
      </c>
      <c r="P485" s="145"/>
      <c r="Q485" s="79">
        <f>O485+P485</f>
        <v>1750000</v>
      </c>
    </row>
    <row r="486" spans="2:17" s="168" customFormat="1" ht="63">
      <c r="B486" s="171" t="s">
        <v>573</v>
      </c>
      <c r="C486" s="6"/>
      <c r="D486" s="103" t="s">
        <v>89</v>
      </c>
      <c r="E486" s="103" t="s">
        <v>304</v>
      </c>
      <c r="F486" s="103"/>
      <c r="G486" s="172"/>
      <c r="H486" s="173"/>
      <c r="I486" s="172"/>
      <c r="J486" s="173"/>
      <c r="K486" s="172"/>
      <c r="L486" s="174"/>
      <c r="M486" s="172"/>
      <c r="N486" s="174"/>
      <c r="O486" s="172">
        <f>O487</f>
        <v>54200</v>
      </c>
      <c r="P486" s="174"/>
      <c r="Q486" s="172">
        <f>Q487</f>
        <v>54200</v>
      </c>
    </row>
    <row r="487" spans="2:17" s="168" customFormat="1" ht="32.25" customHeight="1">
      <c r="B487" s="163" t="s">
        <v>382</v>
      </c>
      <c r="C487" s="6"/>
      <c r="D487" s="103" t="s">
        <v>89</v>
      </c>
      <c r="E487" s="103" t="s">
        <v>304</v>
      </c>
      <c r="F487" s="103" t="s">
        <v>328</v>
      </c>
      <c r="G487" s="172"/>
      <c r="H487" s="173"/>
      <c r="I487" s="172"/>
      <c r="J487" s="173"/>
      <c r="K487" s="172"/>
      <c r="L487" s="174"/>
      <c r="M487" s="172"/>
      <c r="N487" s="174">
        <v>54200</v>
      </c>
      <c r="O487" s="172">
        <f>M487+N487</f>
        <v>54200</v>
      </c>
      <c r="P487" s="174"/>
      <c r="Q487" s="172">
        <f>O487+P487</f>
        <v>54200</v>
      </c>
    </row>
    <row r="488" spans="2:17" ht="63">
      <c r="B488" s="100" t="s">
        <v>396</v>
      </c>
      <c r="C488" s="44"/>
      <c r="D488" s="44" t="s">
        <v>89</v>
      </c>
      <c r="E488" s="44" t="s">
        <v>397</v>
      </c>
      <c r="F488" s="44"/>
      <c r="G488" s="79" t="e">
        <f>G489+#REF!</f>
        <v>#REF!</v>
      </c>
      <c r="H488" s="120"/>
      <c r="I488" s="79">
        <f>I489</f>
        <v>3000000</v>
      </c>
      <c r="J488" s="120"/>
      <c r="K488" s="79">
        <f>K489</f>
        <v>3000000</v>
      </c>
      <c r="L488" s="145"/>
      <c r="M488" s="79">
        <f>M489+M490</f>
        <v>3485000</v>
      </c>
      <c r="N488" s="145"/>
      <c r="O488" s="79">
        <f>O489+O490</f>
        <v>3485000</v>
      </c>
      <c r="P488" s="145"/>
      <c r="Q488" s="79">
        <f>Q489+Q490</f>
        <v>3485000</v>
      </c>
    </row>
    <row r="489" spans="2:17" ht="47.25">
      <c r="B489" s="12" t="s">
        <v>376</v>
      </c>
      <c r="C489" s="44"/>
      <c r="D489" s="44" t="s">
        <v>89</v>
      </c>
      <c r="E489" s="44" t="s">
        <v>397</v>
      </c>
      <c r="F489" s="44" t="s">
        <v>331</v>
      </c>
      <c r="G489" s="79">
        <v>0</v>
      </c>
      <c r="H489" s="120">
        <v>3000000</v>
      </c>
      <c r="I489" s="79">
        <f>G489+H489</f>
        <v>3000000</v>
      </c>
      <c r="J489" s="120">
        <v>0</v>
      </c>
      <c r="K489" s="79">
        <f>I489+J489</f>
        <v>3000000</v>
      </c>
      <c r="L489" s="145">
        <v>464164</v>
      </c>
      <c r="M489" s="79">
        <f>K489+L489</f>
        <v>3464164</v>
      </c>
      <c r="N489" s="145">
        <v>0</v>
      </c>
      <c r="O489" s="79">
        <f>M489+N489</f>
        <v>3464164</v>
      </c>
      <c r="P489" s="145">
        <v>-29164</v>
      </c>
      <c r="Q489" s="79">
        <f>O489+P489</f>
        <v>3435000</v>
      </c>
    </row>
    <row r="490" spans="2:17" ht="32.25" customHeight="1">
      <c r="B490" s="31" t="s">
        <v>351</v>
      </c>
      <c r="C490" s="44"/>
      <c r="D490" s="44" t="s">
        <v>89</v>
      </c>
      <c r="E490" s="44" t="s">
        <v>397</v>
      </c>
      <c r="F490" s="101" t="s">
        <v>352</v>
      </c>
      <c r="G490" s="79"/>
      <c r="H490" s="120"/>
      <c r="I490" s="79"/>
      <c r="J490" s="120"/>
      <c r="K490" s="79"/>
      <c r="L490" s="145">
        <v>20836</v>
      </c>
      <c r="M490" s="79">
        <f>K490+L490</f>
        <v>20836</v>
      </c>
      <c r="N490" s="145">
        <v>0</v>
      </c>
      <c r="O490" s="79">
        <f>M490+N490</f>
        <v>20836</v>
      </c>
      <c r="P490" s="145">
        <v>29164</v>
      </c>
      <c r="Q490" s="79">
        <f>O490+P490</f>
        <v>50000</v>
      </c>
    </row>
    <row r="491" spans="2:17" ht="31.5">
      <c r="B491" s="181" t="s">
        <v>574</v>
      </c>
      <c r="C491" s="44"/>
      <c r="D491" s="101" t="s">
        <v>89</v>
      </c>
      <c r="E491" s="101" t="s">
        <v>298</v>
      </c>
      <c r="F491" s="101"/>
      <c r="G491" s="79"/>
      <c r="H491" s="120"/>
      <c r="I491" s="79"/>
      <c r="J491" s="120"/>
      <c r="K491" s="79"/>
      <c r="L491" s="145"/>
      <c r="M491" s="79">
        <f>M492</f>
        <v>222242</v>
      </c>
      <c r="N491" s="145"/>
      <c r="O491" s="79">
        <f>O492</f>
        <v>222242</v>
      </c>
      <c r="P491" s="145"/>
      <c r="Q491" s="79">
        <f>Q492</f>
        <v>222242</v>
      </c>
    </row>
    <row r="492" spans="2:17" ht="47.25">
      <c r="B492" s="96" t="s">
        <v>322</v>
      </c>
      <c r="C492" s="44"/>
      <c r="D492" s="101" t="s">
        <v>89</v>
      </c>
      <c r="E492" s="101" t="s">
        <v>298</v>
      </c>
      <c r="F492" s="101" t="s">
        <v>327</v>
      </c>
      <c r="G492" s="79"/>
      <c r="H492" s="120"/>
      <c r="I492" s="79"/>
      <c r="J492" s="120"/>
      <c r="K492" s="79"/>
      <c r="L492" s="145">
        <v>222242</v>
      </c>
      <c r="M492" s="79">
        <f>K492+L492</f>
        <v>222242</v>
      </c>
      <c r="N492" s="145">
        <v>0</v>
      </c>
      <c r="O492" s="79">
        <f>M492+N492</f>
        <v>222242</v>
      </c>
      <c r="P492" s="145"/>
      <c r="Q492" s="79">
        <f>O492+P492</f>
        <v>222242</v>
      </c>
    </row>
    <row r="493" spans="2:17" ht="15" customHeight="1">
      <c r="B493" s="75" t="s">
        <v>223</v>
      </c>
      <c r="C493" s="6" t="s">
        <v>90</v>
      </c>
      <c r="D493" s="47" t="s">
        <v>90</v>
      </c>
      <c r="E493" s="6"/>
      <c r="F493" s="6"/>
      <c r="G493" s="60" t="e">
        <f>G494+G540</f>
        <v>#REF!</v>
      </c>
      <c r="H493" s="3"/>
      <c r="I493" s="60" t="e">
        <f>I494+I540</f>
        <v>#REF!</v>
      </c>
      <c r="J493" s="3"/>
      <c r="K493" s="60" t="e">
        <f>K494+K540</f>
        <v>#REF!</v>
      </c>
      <c r="L493" s="133"/>
      <c r="M493" s="60">
        <f>M494+M540</f>
        <v>56930625.5</v>
      </c>
      <c r="N493" s="133"/>
      <c r="O493" s="60">
        <f>O494+O540</f>
        <v>69196128.57</v>
      </c>
      <c r="P493" s="133"/>
      <c r="Q493" s="60">
        <f>Q494+Q540</f>
        <v>85118128.57</v>
      </c>
    </row>
    <row r="494" spans="2:17" ht="15.75">
      <c r="B494" s="12" t="s">
        <v>91</v>
      </c>
      <c r="C494" s="6"/>
      <c r="D494" s="44" t="s">
        <v>92</v>
      </c>
      <c r="E494" s="6"/>
      <c r="F494" s="6"/>
      <c r="G494" s="60" t="e">
        <f>SUM(G495+G518+G525+#REF!+G513+G529+G531+G533+G537)</f>
        <v>#REF!</v>
      </c>
      <c r="H494" s="3"/>
      <c r="I494" s="60" t="e">
        <f>SUM(I495+I518+I525+#REF!+I513+I529+I531+I533+I537+I510)</f>
        <v>#REF!</v>
      </c>
      <c r="J494" s="3"/>
      <c r="K494" s="60" t="e">
        <f>SUM(K495+K518+K525+#REF!+K513+K529+K531+K533+K537+K510)</f>
        <v>#REF!</v>
      </c>
      <c r="L494" s="133"/>
      <c r="M494" s="60">
        <f>SUM(M495+M518+M525+M513+M529+M531+M533+M537+M510)</f>
        <v>53165800</v>
      </c>
      <c r="N494" s="133"/>
      <c r="O494" s="60">
        <f>SUM(O495+O518+O525+O513+O529+O531+O533+O537+O510+O535)</f>
        <v>57716800</v>
      </c>
      <c r="P494" s="133"/>
      <c r="Q494" s="60">
        <f>SUM(Q495+Q518+Q525+Q513+Q529+Q531+Q533+Q537+Q510+Q535)</f>
        <v>73696800</v>
      </c>
    </row>
    <row r="495" spans="2:17" ht="33.75" customHeight="1">
      <c r="B495" s="12" t="s">
        <v>224</v>
      </c>
      <c r="C495" s="6"/>
      <c r="D495" s="44" t="s">
        <v>92</v>
      </c>
      <c r="E495" s="6">
        <v>4400000</v>
      </c>
      <c r="F495" s="6"/>
      <c r="G495" s="60">
        <f>G498+G504+G496</f>
        <v>0</v>
      </c>
      <c r="H495" s="3"/>
      <c r="I495" s="60">
        <f>I498+I504+I496</f>
        <v>40540619</v>
      </c>
      <c r="J495" s="3"/>
      <c r="K495" s="60">
        <f>K498+K504+K496</f>
        <v>40510619</v>
      </c>
      <c r="L495" s="133"/>
      <c r="M495" s="60">
        <f>M498+M504+M496</f>
        <v>40640619</v>
      </c>
      <c r="N495" s="133"/>
      <c r="O495" s="60">
        <f>O498+O504+O496</f>
        <v>40643619</v>
      </c>
      <c r="P495" s="133"/>
      <c r="Q495" s="60">
        <f>Q498+Q504+Q496</f>
        <v>40521619</v>
      </c>
    </row>
    <row r="496" spans="2:17" ht="35.25" customHeight="1">
      <c r="B496" s="96" t="s">
        <v>436</v>
      </c>
      <c r="C496" s="6"/>
      <c r="D496" s="101" t="s">
        <v>92</v>
      </c>
      <c r="E496" s="103" t="s">
        <v>437</v>
      </c>
      <c r="F496" s="6"/>
      <c r="G496" s="60">
        <f>G497</f>
        <v>0</v>
      </c>
      <c r="H496" s="3"/>
      <c r="I496" s="60">
        <f>I497</f>
        <v>0</v>
      </c>
      <c r="J496" s="3"/>
      <c r="K496" s="60">
        <f>K497</f>
        <v>0</v>
      </c>
      <c r="L496" s="133"/>
      <c r="M496" s="60">
        <f>M497</f>
        <v>130000</v>
      </c>
      <c r="N496" s="133"/>
      <c r="O496" s="60">
        <f>O497</f>
        <v>133000</v>
      </c>
      <c r="P496" s="133"/>
      <c r="Q496" s="60">
        <f>Q497</f>
        <v>133000</v>
      </c>
    </row>
    <row r="497" spans="2:17" ht="34.5" customHeight="1">
      <c r="B497" s="31" t="s">
        <v>382</v>
      </c>
      <c r="C497" s="6"/>
      <c r="D497" s="101" t="s">
        <v>92</v>
      </c>
      <c r="E497" s="103" t="s">
        <v>437</v>
      </c>
      <c r="F497" s="103" t="s">
        <v>328</v>
      </c>
      <c r="G497" s="60">
        <v>0</v>
      </c>
      <c r="H497" s="3">
        <v>0</v>
      </c>
      <c r="I497" s="60">
        <f>G497+H497</f>
        <v>0</v>
      </c>
      <c r="J497" s="3">
        <v>0</v>
      </c>
      <c r="K497" s="60">
        <f>I497+J497</f>
        <v>0</v>
      </c>
      <c r="L497" s="133">
        <v>130000</v>
      </c>
      <c r="M497" s="60">
        <f>K497+L497</f>
        <v>130000</v>
      </c>
      <c r="N497" s="133">
        <v>3000</v>
      </c>
      <c r="O497" s="60">
        <f>M497+N497</f>
        <v>133000</v>
      </c>
      <c r="P497" s="133"/>
      <c r="Q497" s="60">
        <f>O497+P497</f>
        <v>133000</v>
      </c>
    </row>
    <row r="498" spans="2:17" ht="31.5">
      <c r="B498" s="12" t="s">
        <v>79</v>
      </c>
      <c r="C498" s="6"/>
      <c r="D498" s="44" t="s">
        <v>92</v>
      </c>
      <c r="E498" s="6" t="s">
        <v>115</v>
      </c>
      <c r="F498" s="6"/>
      <c r="G498" s="60">
        <f>G499+G500+G501+G502+G503</f>
        <v>0</v>
      </c>
      <c r="H498" s="3"/>
      <c r="I498" s="60">
        <f>I499+I500+I501+I502+I503</f>
        <v>39740619</v>
      </c>
      <c r="J498" s="3"/>
      <c r="K498" s="60">
        <f>K499+K500+K501+K502+K503</f>
        <v>39710619</v>
      </c>
      <c r="L498" s="133"/>
      <c r="M498" s="60">
        <f>M499+M500+M501+M502+M503</f>
        <v>39710619</v>
      </c>
      <c r="N498" s="133"/>
      <c r="O498" s="60">
        <f>O499+O500+O501+O502+O503</f>
        <v>39710619</v>
      </c>
      <c r="P498" s="133"/>
      <c r="Q498" s="60">
        <f>Q499+Q500+Q501+Q502+Q503</f>
        <v>39588619</v>
      </c>
    </row>
    <row r="499" spans="2:17" ht="17.25" customHeight="1">
      <c r="B499" s="31" t="s">
        <v>320</v>
      </c>
      <c r="C499" s="6"/>
      <c r="D499" s="44" t="s">
        <v>92</v>
      </c>
      <c r="E499" s="6" t="s">
        <v>115</v>
      </c>
      <c r="F499" s="6" t="s">
        <v>325</v>
      </c>
      <c r="G499" s="60">
        <v>0</v>
      </c>
      <c r="H499" s="3">
        <v>24738305</v>
      </c>
      <c r="I499" s="60">
        <f>G499+H499</f>
        <v>24738305</v>
      </c>
      <c r="J499" s="3">
        <v>0</v>
      </c>
      <c r="K499" s="60">
        <f>I499+J499</f>
        <v>24738305</v>
      </c>
      <c r="L499" s="133"/>
      <c r="M499" s="60">
        <f>K499+L499</f>
        <v>24738305</v>
      </c>
      <c r="N499" s="133"/>
      <c r="O499" s="60">
        <f>M499+N499</f>
        <v>24738305</v>
      </c>
      <c r="P499" s="133">
        <v>-106030.9</v>
      </c>
      <c r="Q499" s="60">
        <f>O499+P499</f>
        <v>24632274.1</v>
      </c>
    </row>
    <row r="500" spans="2:17" ht="34.5" customHeight="1">
      <c r="B500" s="31" t="s">
        <v>321</v>
      </c>
      <c r="C500" s="6"/>
      <c r="D500" s="44" t="s">
        <v>92</v>
      </c>
      <c r="E500" s="6" t="s">
        <v>115</v>
      </c>
      <c r="F500" s="6" t="s">
        <v>326</v>
      </c>
      <c r="G500" s="60">
        <v>0</v>
      </c>
      <c r="H500" s="3">
        <v>6180</v>
      </c>
      <c r="I500" s="60">
        <f>G500+H500</f>
        <v>6180</v>
      </c>
      <c r="J500" s="3">
        <v>0</v>
      </c>
      <c r="K500" s="60">
        <f>I500+J500</f>
        <v>6180</v>
      </c>
      <c r="L500" s="133"/>
      <c r="M500" s="60">
        <f>K500+L500</f>
        <v>6180</v>
      </c>
      <c r="N500" s="133"/>
      <c r="O500" s="60">
        <f>M500+N500</f>
        <v>6180</v>
      </c>
      <c r="P500" s="133"/>
      <c r="Q500" s="60">
        <f>O500+P500</f>
        <v>6180</v>
      </c>
    </row>
    <row r="501" spans="2:17" ht="47.25">
      <c r="B501" s="31" t="s">
        <v>322</v>
      </c>
      <c r="C501" s="6"/>
      <c r="D501" s="44" t="s">
        <v>92</v>
      </c>
      <c r="E501" s="6" t="s">
        <v>115</v>
      </c>
      <c r="F501" s="6" t="s">
        <v>327</v>
      </c>
      <c r="G501" s="60">
        <v>0</v>
      </c>
      <c r="H501" s="3">
        <v>257583</v>
      </c>
      <c r="I501" s="60">
        <f>G501+H501</f>
        <v>257583</v>
      </c>
      <c r="J501" s="3">
        <v>0</v>
      </c>
      <c r="K501" s="60">
        <f>I501+J501</f>
        <v>257583</v>
      </c>
      <c r="L501" s="133"/>
      <c r="M501" s="60">
        <f>K501+L501</f>
        <v>257583</v>
      </c>
      <c r="N501" s="133"/>
      <c r="O501" s="60">
        <f>M501+N501</f>
        <v>257583</v>
      </c>
      <c r="P501" s="133">
        <v>-15969.1</v>
      </c>
      <c r="Q501" s="60">
        <f>O501+P501</f>
        <v>241613.9</v>
      </c>
    </row>
    <row r="502" spans="2:17" ht="35.25" customHeight="1">
      <c r="B502" s="31" t="s">
        <v>382</v>
      </c>
      <c r="C502" s="6"/>
      <c r="D502" s="44" t="s">
        <v>92</v>
      </c>
      <c r="E502" s="6" t="s">
        <v>115</v>
      </c>
      <c r="F502" s="6" t="s">
        <v>328</v>
      </c>
      <c r="G502" s="60">
        <v>0</v>
      </c>
      <c r="H502" s="3">
        <v>14588551</v>
      </c>
      <c r="I502" s="60">
        <f>G502+H502</f>
        <v>14588551</v>
      </c>
      <c r="J502" s="3">
        <v>-30000</v>
      </c>
      <c r="K502" s="60">
        <f>I502+J502</f>
        <v>14558551</v>
      </c>
      <c r="L502" s="133"/>
      <c r="M502" s="60">
        <f>K502+L502</f>
        <v>14558551</v>
      </c>
      <c r="N502" s="133"/>
      <c r="O502" s="60">
        <f>M502+N502</f>
        <v>14558551</v>
      </c>
      <c r="P502" s="133"/>
      <c r="Q502" s="60">
        <f>O502+P502</f>
        <v>14558551</v>
      </c>
    </row>
    <row r="503" spans="2:17" ht="15.75">
      <c r="B503" s="31" t="s">
        <v>334</v>
      </c>
      <c r="C503" s="6"/>
      <c r="D503" s="44" t="s">
        <v>92</v>
      </c>
      <c r="E503" s="6" t="s">
        <v>115</v>
      </c>
      <c r="F503" s="6" t="s">
        <v>335</v>
      </c>
      <c r="G503" s="60">
        <v>0</v>
      </c>
      <c r="H503" s="3">
        <v>150000</v>
      </c>
      <c r="I503" s="60">
        <f>G503+H503</f>
        <v>150000</v>
      </c>
      <c r="J503" s="3">
        <v>0</v>
      </c>
      <c r="K503" s="60">
        <f>I503+J503</f>
        <v>150000</v>
      </c>
      <c r="L503" s="133"/>
      <c r="M503" s="60">
        <f>K503+L503</f>
        <v>150000</v>
      </c>
      <c r="N503" s="133"/>
      <c r="O503" s="60">
        <f>M503+N503</f>
        <v>150000</v>
      </c>
      <c r="P503" s="133"/>
      <c r="Q503" s="60">
        <f>O503+P503</f>
        <v>150000</v>
      </c>
    </row>
    <row r="504" spans="2:17" ht="35.25" customHeight="1">
      <c r="B504" s="12" t="s">
        <v>79</v>
      </c>
      <c r="C504" s="6"/>
      <c r="D504" s="44" t="s">
        <v>92</v>
      </c>
      <c r="E504" s="6" t="s">
        <v>254</v>
      </c>
      <c r="F504" s="6"/>
      <c r="G504" s="60">
        <f>G505+G507+G508+G509+G506</f>
        <v>0</v>
      </c>
      <c r="H504" s="3"/>
      <c r="I504" s="60">
        <f>I505+I507+I508+I509+I506</f>
        <v>800000</v>
      </c>
      <c r="J504" s="3"/>
      <c r="K504" s="60">
        <f>K505+K507+K508+K509+K506</f>
        <v>800000</v>
      </c>
      <c r="L504" s="133"/>
      <c r="M504" s="60">
        <f>M505+M507+M508+M509+M506</f>
        <v>800000</v>
      </c>
      <c r="N504" s="133"/>
      <c r="O504" s="60">
        <f>O505+O507+O508+O509+O506</f>
        <v>800000</v>
      </c>
      <c r="P504" s="133"/>
      <c r="Q504" s="60">
        <f>Q505+Q507+Q508+Q509+Q506</f>
        <v>800000</v>
      </c>
    </row>
    <row r="505" spans="2:17" ht="33.75" customHeight="1">
      <c r="B505" s="31" t="s">
        <v>321</v>
      </c>
      <c r="C505" s="6"/>
      <c r="D505" s="44" t="s">
        <v>92</v>
      </c>
      <c r="E505" s="6" t="s">
        <v>254</v>
      </c>
      <c r="F505" s="6" t="s">
        <v>326</v>
      </c>
      <c r="G505" s="60">
        <v>0</v>
      </c>
      <c r="H505" s="3">
        <v>50000</v>
      </c>
      <c r="I505" s="60">
        <f>G505+H505</f>
        <v>50000</v>
      </c>
      <c r="J505" s="3">
        <v>0</v>
      </c>
      <c r="K505" s="60">
        <f>I505+J505</f>
        <v>50000</v>
      </c>
      <c r="L505" s="133">
        <v>-50000</v>
      </c>
      <c r="M505" s="60">
        <f>K505+L505</f>
        <v>0</v>
      </c>
      <c r="N505" s="133">
        <v>0</v>
      </c>
      <c r="O505" s="60">
        <f>M505+N505</f>
        <v>0</v>
      </c>
      <c r="P505" s="133"/>
      <c r="Q505" s="60">
        <f>O505+P505</f>
        <v>0</v>
      </c>
    </row>
    <row r="506" spans="2:17" ht="35.25" customHeight="1" hidden="1">
      <c r="B506" s="31" t="s">
        <v>322</v>
      </c>
      <c r="C506" s="6"/>
      <c r="D506" s="44" t="s">
        <v>92</v>
      </c>
      <c r="E506" s="6" t="s">
        <v>254</v>
      </c>
      <c r="F506" s="6" t="s">
        <v>327</v>
      </c>
      <c r="G506" s="60">
        <v>0</v>
      </c>
      <c r="H506" s="3">
        <v>0</v>
      </c>
      <c r="I506" s="60">
        <f>G506+H506</f>
        <v>0</v>
      </c>
      <c r="J506" s="3">
        <v>0</v>
      </c>
      <c r="K506" s="60">
        <f>I506+J506</f>
        <v>0</v>
      </c>
      <c r="L506" s="133"/>
      <c r="M506" s="60">
        <f>K506+L506</f>
        <v>0</v>
      </c>
      <c r="N506" s="133"/>
      <c r="O506" s="60">
        <f>M506+N506</f>
        <v>0</v>
      </c>
      <c r="P506" s="133"/>
      <c r="Q506" s="60">
        <f>O506+P506</f>
        <v>0</v>
      </c>
    </row>
    <row r="507" spans="2:17" ht="35.25" customHeight="1">
      <c r="B507" s="31" t="s">
        <v>382</v>
      </c>
      <c r="C507" s="6"/>
      <c r="D507" s="44" t="s">
        <v>92</v>
      </c>
      <c r="E507" s="6" t="s">
        <v>254</v>
      </c>
      <c r="F507" s="6" t="s">
        <v>328</v>
      </c>
      <c r="G507" s="60">
        <v>0</v>
      </c>
      <c r="H507" s="3">
        <v>685000</v>
      </c>
      <c r="I507" s="60">
        <f>G507+H507</f>
        <v>685000</v>
      </c>
      <c r="J507" s="3">
        <v>0</v>
      </c>
      <c r="K507" s="60">
        <f>I507+J507</f>
        <v>685000</v>
      </c>
      <c r="L507" s="133">
        <v>50000</v>
      </c>
      <c r="M507" s="60">
        <f>K507+L507</f>
        <v>735000</v>
      </c>
      <c r="N507" s="133">
        <v>0</v>
      </c>
      <c r="O507" s="60">
        <f>M507+N507</f>
        <v>735000</v>
      </c>
      <c r="P507" s="133">
        <v>-61000</v>
      </c>
      <c r="Q507" s="60">
        <f>O507+P507</f>
        <v>674000</v>
      </c>
    </row>
    <row r="508" spans="2:17" ht="31.5">
      <c r="B508" s="31" t="s">
        <v>355</v>
      </c>
      <c r="C508" s="6"/>
      <c r="D508" s="44" t="s">
        <v>92</v>
      </c>
      <c r="E508" s="6" t="s">
        <v>254</v>
      </c>
      <c r="F508" s="6" t="s">
        <v>329</v>
      </c>
      <c r="G508" s="60">
        <v>0</v>
      </c>
      <c r="H508" s="3">
        <v>15000</v>
      </c>
      <c r="I508" s="60">
        <f>G508+H508</f>
        <v>15000</v>
      </c>
      <c r="J508" s="3">
        <v>0</v>
      </c>
      <c r="K508" s="60">
        <f>I508+J508</f>
        <v>15000</v>
      </c>
      <c r="L508" s="133"/>
      <c r="M508" s="60">
        <f>K508+L508</f>
        <v>15000</v>
      </c>
      <c r="N508" s="133"/>
      <c r="O508" s="60">
        <f>M508+N508</f>
        <v>15000</v>
      </c>
      <c r="P508" s="133"/>
      <c r="Q508" s="60">
        <f>O508+P508</f>
        <v>15000</v>
      </c>
    </row>
    <row r="509" spans="2:17" ht="15.75">
      <c r="B509" s="31" t="s">
        <v>334</v>
      </c>
      <c r="C509" s="6"/>
      <c r="D509" s="44" t="s">
        <v>92</v>
      </c>
      <c r="E509" s="6" t="s">
        <v>254</v>
      </c>
      <c r="F509" s="6" t="s">
        <v>335</v>
      </c>
      <c r="G509" s="60">
        <v>0</v>
      </c>
      <c r="H509" s="3">
        <v>50000</v>
      </c>
      <c r="I509" s="60">
        <f>G509+H509</f>
        <v>50000</v>
      </c>
      <c r="J509" s="3">
        <v>0</v>
      </c>
      <c r="K509" s="60">
        <f>I509+J509</f>
        <v>50000</v>
      </c>
      <c r="L509" s="133"/>
      <c r="M509" s="60">
        <f>K509+L509</f>
        <v>50000</v>
      </c>
      <c r="N509" s="133"/>
      <c r="O509" s="60">
        <f>M509+N509</f>
        <v>50000</v>
      </c>
      <c r="P509" s="133">
        <v>61000</v>
      </c>
      <c r="Q509" s="60">
        <f>O509+P509</f>
        <v>111000</v>
      </c>
    </row>
    <row r="510" spans="2:17" ht="0.75" customHeight="1" hidden="1">
      <c r="B510" s="96" t="s">
        <v>458</v>
      </c>
      <c r="C510" s="6"/>
      <c r="D510" s="101" t="s">
        <v>92</v>
      </c>
      <c r="E510" s="103" t="s">
        <v>457</v>
      </c>
      <c r="F510" s="6"/>
      <c r="G510" s="60"/>
      <c r="H510" s="3"/>
      <c r="I510" s="60">
        <f>I512+I511</f>
        <v>0</v>
      </c>
      <c r="J510" s="3"/>
      <c r="K510" s="60">
        <f>K512+K511</f>
        <v>0</v>
      </c>
      <c r="L510" s="133"/>
      <c r="M510" s="60">
        <f>M512+M511</f>
        <v>0</v>
      </c>
      <c r="N510" s="133"/>
      <c r="O510" s="60">
        <f>O512+O511</f>
        <v>0</v>
      </c>
      <c r="P510" s="133"/>
      <c r="Q510" s="60">
        <f>Q512+Q511</f>
        <v>0</v>
      </c>
    </row>
    <row r="511" spans="2:17" ht="64.5" customHeight="1" hidden="1">
      <c r="B511" s="31" t="s">
        <v>322</v>
      </c>
      <c r="C511" s="6"/>
      <c r="D511" s="101" t="s">
        <v>92</v>
      </c>
      <c r="E511" s="103" t="s">
        <v>457</v>
      </c>
      <c r="F511" s="103" t="s">
        <v>327</v>
      </c>
      <c r="G511" s="60"/>
      <c r="H511" s="3">
        <v>0</v>
      </c>
      <c r="I511" s="60">
        <f>G511+H511</f>
        <v>0</v>
      </c>
      <c r="J511" s="3">
        <v>0</v>
      </c>
      <c r="K511" s="60">
        <f>I511+J511</f>
        <v>0</v>
      </c>
      <c r="L511" s="133"/>
      <c r="M511" s="60">
        <f>K511+L511</f>
        <v>0</v>
      </c>
      <c r="N511" s="133"/>
      <c r="O511" s="60">
        <f>M511+N511</f>
        <v>0</v>
      </c>
      <c r="P511" s="133"/>
      <c r="Q511" s="60">
        <f>O511+P511</f>
        <v>0</v>
      </c>
    </row>
    <row r="512" spans="2:17" ht="30" customHeight="1" hidden="1">
      <c r="B512" s="31" t="s">
        <v>382</v>
      </c>
      <c r="C512" s="6"/>
      <c r="D512" s="101" t="s">
        <v>92</v>
      </c>
      <c r="E512" s="103" t="s">
        <v>457</v>
      </c>
      <c r="F512" s="103" t="s">
        <v>328</v>
      </c>
      <c r="G512" s="60"/>
      <c r="H512" s="3">
        <v>0</v>
      </c>
      <c r="I512" s="60">
        <f>G512+H512</f>
        <v>0</v>
      </c>
      <c r="J512" s="3">
        <v>0</v>
      </c>
      <c r="K512" s="60">
        <f>I512+J512</f>
        <v>0</v>
      </c>
      <c r="L512" s="133"/>
      <c r="M512" s="60">
        <f>K512+L512</f>
        <v>0</v>
      </c>
      <c r="N512" s="133"/>
      <c r="O512" s="60">
        <f>M512+N512</f>
        <v>0</v>
      </c>
      <c r="P512" s="133"/>
      <c r="Q512" s="60">
        <f>O512+P512</f>
        <v>0</v>
      </c>
    </row>
    <row r="513" spans="2:17" ht="30" customHeight="1" hidden="1">
      <c r="B513" s="23" t="s">
        <v>307</v>
      </c>
      <c r="C513" s="6"/>
      <c r="D513" s="44" t="s">
        <v>92</v>
      </c>
      <c r="E513" s="103" t="s">
        <v>210</v>
      </c>
      <c r="F513" s="6"/>
      <c r="G513" s="60">
        <f>G516+G514</f>
        <v>0</v>
      </c>
      <c r="H513" s="3"/>
      <c r="I513" s="60">
        <f>I516+I514</f>
        <v>0</v>
      </c>
      <c r="J513" s="3"/>
      <c r="K513" s="60">
        <f>K516+K514</f>
        <v>0</v>
      </c>
      <c r="L513" s="133"/>
      <c r="M513" s="60">
        <f>M516+M514</f>
        <v>0</v>
      </c>
      <c r="N513" s="133"/>
      <c r="O513" s="60">
        <f>O516+O514</f>
        <v>0</v>
      </c>
      <c r="P513" s="133"/>
      <c r="Q513" s="60">
        <f>Q516+Q514</f>
        <v>0</v>
      </c>
    </row>
    <row r="514" spans="2:17" ht="30" customHeight="1" hidden="1">
      <c r="B514" s="100" t="s">
        <v>454</v>
      </c>
      <c r="C514" s="6"/>
      <c r="D514" s="101" t="s">
        <v>92</v>
      </c>
      <c r="E514" s="103" t="s">
        <v>211</v>
      </c>
      <c r="F514" s="6"/>
      <c r="G514" s="60">
        <f>G515</f>
        <v>0</v>
      </c>
      <c r="H514" s="3"/>
      <c r="I514" s="60">
        <f>I515</f>
        <v>0</v>
      </c>
      <c r="J514" s="3"/>
      <c r="K514" s="60">
        <f>K515</f>
        <v>0</v>
      </c>
      <c r="L514" s="133"/>
      <c r="M514" s="60">
        <f>M515</f>
        <v>0</v>
      </c>
      <c r="N514" s="133"/>
      <c r="O514" s="60">
        <f>O515</f>
        <v>0</v>
      </c>
      <c r="P514" s="133"/>
      <c r="Q514" s="60">
        <f>Q515</f>
        <v>0</v>
      </c>
    </row>
    <row r="515" spans="2:17" ht="19.5" customHeight="1" hidden="1">
      <c r="B515" s="31" t="s">
        <v>334</v>
      </c>
      <c r="C515" s="6"/>
      <c r="D515" s="101" t="s">
        <v>92</v>
      </c>
      <c r="E515" s="103" t="s">
        <v>211</v>
      </c>
      <c r="F515" s="103" t="s">
        <v>335</v>
      </c>
      <c r="G515" s="60">
        <v>0</v>
      </c>
      <c r="H515" s="3"/>
      <c r="I515" s="60">
        <f>G515+H515</f>
        <v>0</v>
      </c>
      <c r="J515" s="3"/>
      <c r="K515" s="60">
        <f>I515+J515</f>
        <v>0</v>
      </c>
      <c r="L515" s="133"/>
      <c r="M515" s="60">
        <f>K515+L515</f>
        <v>0</v>
      </c>
      <c r="N515" s="133"/>
      <c r="O515" s="60">
        <f>M515+N515</f>
        <v>0</v>
      </c>
      <c r="P515" s="133"/>
      <c r="Q515" s="60">
        <f>O515+P515</f>
        <v>0</v>
      </c>
    </row>
    <row r="516" spans="2:17" ht="30" customHeight="1" hidden="1">
      <c r="B516" s="104" t="s">
        <v>455</v>
      </c>
      <c r="C516" s="6"/>
      <c r="D516" s="44" t="s">
        <v>92</v>
      </c>
      <c r="E516" s="6" t="s">
        <v>308</v>
      </c>
      <c r="F516" s="6"/>
      <c r="G516" s="60">
        <f>G517</f>
        <v>0</v>
      </c>
      <c r="H516" s="3"/>
      <c r="I516" s="60">
        <f>I517</f>
        <v>0</v>
      </c>
      <c r="J516" s="3"/>
      <c r="K516" s="60">
        <f>K517</f>
        <v>0</v>
      </c>
      <c r="L516" s="133"/>
      <c r="M516" s="60">
        <f>M517</f>
        <v>0</v>
      </c>
      <c r="N516" s="133"/>
      <c r="O516" s="60">
        <f>O517</f>
        <v>0</v>
      </c>
      <c r="P516" s="133"/>
      <c r="Q516" s="60">
        <f>Q517</f>
        <v>0</v>
      </c>
    </row>
    <row r="517" spans="2:17" ht="26.25" customHeight="1" hidden="1">
      <c r="B517" s="31" t="s">
        <v>334</v>
      </c>
      <c r="C517" s="6"/>
      <c r="D517" s="44" t="s">
        <v>92</v>
      </c>
      <c r="E517" s="6" t="s">
        <v>308</v>
      </c>
      <c r="F517" s="6" t="s">
        <v>335</v>
      </c>
      <c r="G517" s="60">
        <v>0</v>
      </c>
      <c r="H517" s="3">
        <v>0</v>
      </c>
      <c r="I517" s="60">
        <f>G517+H517</f>
        <v>0</v>
      </c>
      <c r="J517" s="3">
        <v>0</v>
      </c>
      <c r="K517" s="60">
        <f>I517+J517</f>
        <v>0</v>
      </c>
      <c r="L517" s="133"/>
      <c r="M517" s="60">
        <f>K517+L517</f>
        <v>0</v>
      </c>
      <c r="N517" s="133"/>
      <c r="O517" s="60">
        <f>M517+N517</f>
        <v>0</v>
      </c>
      <c r="P517" s="133"/>
      <c r="Q517" s="60">
        <f>O517+P517</f>
        <v>0</v>
      </c>
    </row>
    <row r="518" spans="2:17" ht="15.75">
      <c r="B518" s="12" t="s">
        <v>93</v>
      </c>
      <c r="C518" s="6"/>
      <c r="D518" s="44" t="s">
        <v>92</v>
      </c>
      <c r="E518" s="6">
        <v>4420000</v>
      </c>
      <c r="F518" s="6"/>
      <c r="G518" s="60">
        <f>G519</f>
        <v>0</v>
      </c>
      <c r="H518" s="3"/>
      <c r="I518" s="60">
        <f>I519</f>
        <v>10932391</v>
      </c>
      <c r="J518" s="3"/>
      <c r="K518" s="60">
        <f>K519</f>
        <v>10932391</v>
      </c>
      <c r="L518" s="133"/>
      <c r="M518" s="60">
        <f>M519</f>
        <v>10932391</v>
      </c>
      <c r="N518" s="133"/>
      <c r="O518" s="60">
        <f>O519</f>
        <v>10932391</v>
      </c>
      <c r="P518" s="133"/>
      <c r="Q518" s="60">
        <f>Q519</f>
        <v>10932391</v>
      </c>
    </row>
    <row r="519" spans="2:17" ht="31.5">
      <c r="B519" s="12" t="s">
        <v>79</v>
      </c>
      <c r="C519" s="6"/>
      <c r="D519" s="44" t="s">
        <v>92</v>
      </c>
      <c r="E519" s="6" t="s">
        <v>116</v>
      </c>
      <c r="F519" s="6"/>
      <c r="G519" s="60">
        <f>G520+G522+G523+G524</f>
        <v>0</v>
      </c>
      <c r="H519" s="60">
        <f>H520+H522+H523+H524</f>
        <v>10932391</v>
      </c>
      <c r="I519" s="60">
        <f>I520+I522+I523+I524</f>
        <v>10932391</v>
      </c>
      <c r="J519" s="60">
        <v>0</v>
      </c>
      <c r="K519" s="60">
        <f>K520+K522+K523+K524</f>
        <v>10932391</v>
      </c>
      <c r="L519" s="142"/>
      <c r="M519" s="60">
        <f>M520+M522+M523+M524</f>
        <v>10932391</v>
      </c>
      <c r="N519" s="142"/>
      <c r="O519" s="60">
        <f>O520+O522+O523+O524</f>
        <v>10932391</v>
      </c>
      <c r="P519" s="142"/>
      <c r="Q519" s="60">
        <f>Q520+Q522+Q523+Q524</f>
        <v>10932391</v>
      </c>
    </row>
    <row r="520" spans="2:17" ht="15.75">
      <c r="B520" s="164" t="s">
        <v>320</v>
      </c>
      <c r="C520" s="6"/>
      <c r="D520" s="44" t="s">
        <v>92</v>
      </c>
      <c r="E520" s="6" t="s">
        <v>116</v>
      </c>
      <c r="F520" s="6" t="s">
        <v>325</v>
      </c>
      <c r="G520" s="60">
        <v>0</v>
      </c>
      <c r="H520" s="3">
        <v>8880042</v>
      </c>
      <c r="I520" s="60">
        <f>G520+H520</f>
        <v>8880042</v>
      </c>
      <c r="J520" s="3">
        <v>0</v>
      </c>
      <c r="K520" s="60">
        <f>I520+J520</f>
        <v>8880042</v>
      </c>
      <c r="L520" s="133"/>
      <c r="M520" s="60">
        <f>K520+L520</f>
        <v>8880042</v>
      </c>
      <c r="N520" s="133"/>
      <c r="O520" s="60">
        <f>M520+N520</f>
        <v>8880042</v>
      </c>
      <c r="P520" s="133"/>
      <c r="Q520" s="60">
        <f>O520+P520</f>
        <v>8880042</v>
      </c>
    </row>
    <row r="521" spans="2:17" ht="18" customHeight="1" hidden="1">
      <c r="B521" s="31" t="s">
        <v>321</v>
      </c>
      <c r="C521" s="6"/>
      <c r="D521" s="44" t="s">
        <v>92</v>
      </c>
      <c r="E521" s="6" t="s">
        <v>116</v>
      </c>
      <c r="F521" s="6" t="s">
        <v>36</v>
      </c>
      <c r="G521" s="60" t="e">
        <f>#REF!+#REF!</f>
        <v>#REF!</v>
      </c>
      <c r="H521" s="3"/>
      <c r="I521" s="60" t="e">
        <f aca="true" t="shared" si="26" ref="I521:K528">G521+H521</f>
        <v>#REF!</v>
      </c>
      <c r="J521" s="3"/>
      <c r="K521" s="60" t="e">
        <f t="shared" si="26"/>
        <v>#REF!</v>
      </c>
      <c r="L521" s="133"/>
      <c r="M521" s="60" t="e">
        <f>K521+L521</f>
        <v>#REF!</v>
      </c>
      <c r="N521" s="133"/>
      <c r="O521" s="60" t="e">
        <f>M521+N521</f>
        <v>#REF!</v>
      </c>
      <c r="P521" s="133"/>
      <c r="Q521" s="60" t="e">
        <f>O521+P521</f>
        <v>#REF!</v>
      </c>
    </row>
    <row r="522" spans="2:17" ht="31.5">
      <c r="B522" s="163" t="s">
        <v>321</v>
      </c>
      <c r="C522" s="6"/>
      <c r="D522" s="44" t="s">
        <v>92</v>
      </c>
      <c r="E522" s="6">
        <v>4420000</v>
      </c>
      <c r="F522" s="6" t="s">
        <v>326</v>
      </c>
      <c r="G522" s="60">
        <v>0</v>
      </c>
      <c r="H522" s="3">
        <v>13327</v>
      </c>
      <c r="I522" s="60">
        <f t="shared" si="26"/>
        <v>13327</v>
      </c>
      <c r="J522" s="3">
        <v>0</v>
      </c>
      <c r="K522" s="60">
        <f t="shared" si="26"/>
        <v>13327</v>
      </c>
      <c r="L522" s="133"/>
      <c r="M522" s="60">
        <f>K522+L522</f>
        <v>13327</v>
      </c>
      <c r="N522" s="133"/>
      <c r="O522" s="60">
        <f>M522+N522</f>
        <v>13327</v>
      </c>
      <c r="P522" s="133"/>
      <c r="Q522" s="60">
        <f>O522+P522</f>
        <v>13327</v>
      </c>
    </row>
    <row r="523" spans="2:17" ht="47.25">
      <c r="B523" s="31" t="s">
        <v>322</v>
      </c>
      <c r="C523" s="6"/>
      <c r="D523" s="44" t="s">
        <v>92</v>
      </c>
      <c r="E523" s="6" t="s">
        <v>116</v>
      </c>
      <c r="F523" s="6" t="s">
        <v>327</v>
      </c>
      <c r="G523" s="60">
        <v>0</v>
      </c>
      <c r="H523" s="3">
        <v>246100</v>
      </c>
      <c r="I523" s="60">
        <f t="shared" si="26"/>
        <v>246100</v>
      </c>
      <c r="J523" s="3">
        <v>0</v>
      </c>
      <c r="K523" s="60">
        <f t="shared" si="26"/>
        <v>246100</v>
      </c>
      <c r="L523" s="133"/>
      <c r="M523" s="60">
        <f>K523+L523</f>
        <v>246100</v>
      </c>
      <c r="N523" s="133"/>
      <c r="O523" s="60">
        <f>M523+N523</f>
        <v>246100</v>
      </c>
      <c r="P523" s="133"/>
      <c r="Q523" s="60">
        <f>O523+P523</f>
        <v>246100</v>
      </c>
    </row>
    <row r="524" spans="2:17" ht="31.5">
      <c r="B524" s="31" t="s">
        <v>382</v>
      </c>
      <c r="C524" s="6"/>
      <c r="D524" s="44" t="s">
        <v>92</v>
      </c>
      <c r="E524" s="6" t="s">
        <v>116</v>
      </c>
      <c r="F524" s="6" t="s">
        <v>328</v>
      </c>
      <c r="G524" s="60">
        <v>0</v>
      </c>
      <c r="H524" s="3">
        <v>1792922</v>
      </c>
      <c r="I524" s="60">
        <f t="shared" si="26"/>
        <v>1792922</v>
      </c>
      <c r="J524" s="3">
        <v>0</v>
      </c>
      <c r="K524" s="60">
        <f t="shared" si="26"/>
        <v>1792922</v>
      </c>
      <c r="L524" s="133"/>
      <c r="M524" s="60">
        <f>K524+L524</f>
        <v>1792922</v>
      </c>
      <c r="N524" s="133"/>
      <c r="O524" s="60">
        <f>M524+N524</f>
        <v>1792922</v>
      </c>
      <c r="P524" s="133"/>
      <c r="Q524" s="60">
        <f>O524+P524</f>
        <v>1792922</v>
      </c>
    </row>
    <row r="525" spans="2:17" ht="33.75" customHeight="1">
      <c r="B525" s="12" t="s">
        <v>94</v>
      </c>
      <c r="C525" s="6"/>
      <c r="D525" s="44" t="s">
        <v>92</v>
      </c>
      <c r="E525" s="6">
        <v>4430000</v>
      </c>
      <c r="F525" s="6"/>
      <c r="G525" s="60">
        <f>G526+G527+G528</f>
        <v>0</v>
      </c>
      <c r="H525" s="3"/>
      <c r="I525" s="60">
        <f>I526+I527+I528</f>
        <v>1592790</v>
      </c>
      <c r="J525" s="3"/>
      <c r="K525" s="60">
        <f>K526+K527+K528</f>
        <v>1592790</v>
      </c>
      <c r="L525" s="133"/>
      <c r="M525" s="60">
        <f>M526+M527+M528</f>
        <v>1592790</v>
      </c>
      <c r="N525" s="133"/>
      <c r="O525" s="60">
        <f>O526+O527+O528</f>
        <v>1592790</v>
      </c>
      <c r="P525" s="133"/>
      <c r="Q525" s="60">
        <f>Q526+Q527+Q528</f>
        <v>1572790</v>
      </c>
    </row>
    <row r="526" spans="2:17" ht="19.5" customHeight="1">
      <c r="B526" s="31" t="s">
        <v>320</v>
      </c>
      <c r="C526" s="6"/>
      <c r="D526" s="44" t="s">
        <v>92</v>
      </c>
      <c r="E526" s="6" t="s">
        <v>117</v>
      </c>
      <c r="F526" s="6" t="s">
        <v>325</v>
      </c>
      <c r="G526" s="60">
        <v>0</v>
      </c>
      <c r="H526" s="3">
        <v>1552790</v>
      </c>
      <c r="I526" s="60">
        <f t="shared" si="26"/>
        <v>1552790</v>
      </c>
      <c r="J526" s="3">
        <v>0</v>
      </c>
      <c r="K526" s="60">
        <f t="shared" si="26"/>
        <v>1552790</v>
      </c>
      <c r="L526" s="133"/>
      <c r="M526" s="60">
        <f>K526+L526</f>
        <v>1552790</v>
      </c>
      <c r="N526" s="133"/>
      <c r="O526" s="60">
        <f>M526+N526</f>
        <v>1552790</v>
      </c>
      <c r="P526" s="133"/>
      <c r="Q526" s="60">
        <f>O526+P526</f>
        <v>1552790</v>
      </c>
    </row>
    <row r="527" spans="2:17" ht="31.5">
      <c r="B527" s="31" t="s">
        <v>321</v>
      </c>
      <c r="C527" s="6"/>
      <c r="D527" s="44" t="s">
        <v>92</v>
      </c>
      <c r="E527" s="6" t="s">
        <v>117</v>
      </c>
      <c r="F527" s="6" t="s">
        <v>326</v>
      </c>
      <c r="G527" s="60">
        <v>0</v>
      </c>
      <c r="H527" s="3">
        <v>20000</v>
      </c>
      <c r="I527" s="60">
        <f t="shared" si="26"/>
        <v>20000</v>
      </c>
      <c r="J527" s="3">
        <v>0</v>
      </c>
      <c r="K527" s="60">
        <f t="shared" si="26"/>
        <v>20000</v>
      </c>
      <c r="L527" s="133"/>
      <c r="M527" s="60">
        <f>K527+L527</f>
        <v>20000</v>
      </c>
      <c r="N527" s="133"/>
      <c r="O527" s="60">
        <f>M527+N527</f>
        <v>20000</v>
      </c>
      <c r="P527" s="133"/>
      <c r="Q527" s="60">
        <f>O527+P527</f>
        <v>20000</v>
      </c>
    </row>
    <row r="528" spans="2:17" ht="31.5">
      <c r="B528" s="31" t="s">
        <v>382</v>
      </c>
      <c r="C528" s="6"/>
      <c r="D528" s="44" t="s">
        <v>92</v>
      </c>
      <c r="E528" s="6" t="s">
        <v>117</v>
      </c>
      <c r="F528" s="6" t="s">
        <v>328</v>
      </c>
      <c r="G528" s="60">
        <v>0</v>
      </c>
      <c r="H528" s="3">
        <v>20000</v>
      </c>
      <c r="I528" s="60">
        <f t="shared" si="26"/>
        <v>20000</v>
      </c>
      <c r="J528" s="3">
        <v>0</v>
      </c>
      <c r="K528" s="60">
        <f t="shared" si="26"/>
        <v>20000</v>
      </c>
      <c r="L528" s="133"/>
      <c r="M528" s="60">
        <f>K528+L528</f>
        <v>20000</v>
      </c>
      <c r="N528" s="133"/>
      <c r="O528" s="60">
        <f>M528+N528</f>
        <v>20000</v>
      </c>
      <c r="P528" s="133">
        <v>-20000</v>
      </c>
      <c r="Q528" s="60">
        <f>O528+P528</f>
        <v>0</v>
      </c>
    </row>
    <row r="529" spans="2:17" ht="31.5" customHeight="1" hidden="1">
      <c r="B529" s="96" t="s">
        <v>446</v>
      </c>
      <c r="C529" s="97" t="s">
        <v>448</v>
      </c>
      <c r="D529" s="97" t="s">
        <v>92</v>
      </c>
      <c r="E529" s="97" t="s">
        <v>447</v>
      </c>
      <c r="F529" s="97"/>
      <c r="G529" s="60">
        <f>G530</f>
        <v>0</v>
      </c>
      <c r="H529" s="3"/>
      <c r="I529" s="60">
        <f>I530</f>
        <v>0</v>
      </c>
      <c r="J529" s="3"/>
      <c r="K529" s="60">
        <f>K530</f>
        <v>0</v>
      </c>
      <c r="L529" s="133"/>
      <c r="M529" s="60">
        <f>M530</f>
        <v>0</v>
      </c>
      <c r="N529" s="133"/>
      <c r="O529" s="60">
        <f>O530</f>
        <v>0</v>
      </c>
      <c r="P529" s="133"/>
      <c r="Q529" s="60">
        <f>Q530</f>
        <v>0</v>
      </c>
    </row>
    <row r="530" spans="2:17" ht="31.5" customHeight="1" hidden="1">
      <c r="B530" s="96" t="s">
        <v>320</v>
      </c>
      <c r="C530" s="97" t="s">
        <v>448</v>
      </c>
      <c r="D530" s="97" t="s">
        <v>92</v>
      </c>
      <c r="E530" s="97" t="s">
        <v>447</v>
      </c>
      <c r="F530" s="97" t="s">
        <v>325</v>
      </c>
      <c r="G530" s="60">
        <v>0</v>
      </c>
      <c r="H530" s="3">
        <v>0</v>
      </c>
      <c r="I530" s="60">
        <f>G530+H530</f>
        <v>0</v>
      </c>
      <c r="J530" s="3">
        <v>0</v>
      </c>
      <c r="K530" s="60">
        <f>I530+J530</f>
        <v>0</v>
      </c>
      <c r="L530" s="133"/>
      <c r="M530" s="60">
        <f>K530+L530</f>
        <v>0</v>
      </c>
      <c r="N530" s="133"/>
      <c r="O530" s="60">
        <f>M530+N530</f>
        <v>0</v>
      </c>
      <c r="P530" s="133"/>
      <c r="Q530" s="60">
        <f>O530+P530</f>
        <v>0</v>
      </c>
    </row>
    <row r="531" spans="2:17" ht="31.5" customHeight="1" hidden="1">
      <c r="B531" s="96" t="s">
        <v>449</v>
      </c>
      <c r="C531" s="97" t="s">
        <v>448</v>
      </c>
      <c r="D531" s="97" t="s">
        <v>92</v>
      </c>
      <c r="E531" s="97" t="s">
        <v>450</v>
      </c>
      <c r="F531" s="97"/>
      <c r="G531" s="60">
        <f>G532</f>
        <v>0</v>
      </c>
      <c r="H531" s="3"/>
      <c r="I531" s="60">
        <f>I532</f>
        <v>0</v>
      </c>
      <c r="J531" s="3"/>
      <c r="K531" s="60">
        <f>K532</f>
        <v>0</v>
      </c>
      <c r="L531" s="133"/>
      <c r="M531" s="60">
        <f>M532</f>
        <v>0</v>
      </c>
      <c r="N531" s="133"/>
      <c r="O531" s="60">
        <f>O532</f>
        <v>0</v>
      </c>
      <c r="P531" s="133"/>
      <c r="Q531" s="60">
        <f>Q532</f>
        <v>0</v>
      </c>
    </row>
    <row r="532" spans="2:17" ht="31.5" customHeight="1" hidden="1">
      <c r="B532" s="96" t="s">
        <v>382</v>
      </c>
      <c r="C532" s="97" t="s">
        <v>448</v>
      </c>
      <c r="D532" s="97" t="s">
        <v>92</v>
      </c>
      <c r="E532" s="97" t="s">
        <v>450</v>
      </c>
      <c r="F532" s="97" t="s">
        <v>328</v>
      </c>
      <c r="G532" s="60">
        <v>0</v>
      </c>
      <c r="H532" s="3">
        <v>0</v>
      </c>
      <c r="I532" s="60">
        <f>G532+H532</f>
        <v>0</v>
      </c>
      <c r="J532" s="3">
        <v>0</v>
      </c>
      <c r="K532" s="60">
        <f>I532+J532</f>
        <v>0</v>
      </c>
      <c r="L532" s="133"/>
      <c r="M532" s="60">
        <f>K532+L532</f>
        <v>0</v>
      </c>
      <c r="N532" s="133"/>
      <c r="O532" s="60">
        <f>M532+N532</f>
        <v>0</v>
      </c>
      <c r="P532" s="133"/>
      <c r="Q532" s="60">
        <f>O532+P532</f>
        <v>0</v>
      </c>
    </row>
    <row r="533" spans="2:17" ht="31.5" customHeight="1" hidden="1">
      <c r="B533" s="108" t="s">
        <v>242</v>
      </c>
      <c r="C533" s="97" t="s">
        <v>448</v>
      </c>
      <c r="D533" s="98" t="s">
        <v>92</v>
      </c>
      <c r="E533" s="97" t="s">
        <v>298</v>
      </c>
      <c r="F533" s="97"/>
      <c r="G533" s="60">
        <f>G534</f>
        <v>0</v>
      </c>
      <c r="H533" s="3"/>
      <c r="I533" s="60">
        <f>I534</f>
        <v>0</v>
      </c>
      <c r="J533" s="3"/>
      <c r="K533" s="60">
        <f>K534</f>
        <v>0</v>
      </c>
      <c r="L533" s="133"/>
      <c r="M533" s="60">
        <f>M534</f>
        <v>0</v>
      </c>
      <c r="N533" s="133"/>
      <c r="O533" s="60">
        <f>O534</f>
        <v>0</v>
      </c>
      <c r="P533" s="133"/>
      <c r="Q533" s="60">
        <f>Q534</f>
        <v>0</v>
      </c>
    </row>
    <row r="534" spans="2:17" ht="31.5" customHeight="1" hidden="1">
      <c r="B534" s="109" t="s">
        <v>322</v>
      </c>
      <c r="C534" s="97" t="s">
        <v>448</v>
      </c>
      <c r="D534" s="98" t="s">
        <v>92</v>
      </c>
      <c r="E534" s="97" t="s">
        <v>298</v>
      </c>
      <c r="F534" s="97" t="s">
        <v>327</v>
      </c>
      <c r="G534" s="60">
        <v>0</v>
      </c>
      <c r="H534" s="3">
        <v>0</v>
      </c>
      <c r="I534" s="60">
        <f>G534+H534</f>
        <v>0</v>
      </c>
      <c r="J534" s="3">
        <v>0</v>
      </c>
      <c r="K534" s="60">
        <f>I534+J534</f>
        <v>0</v>
      </c>
      <c r="L534" s="133"/>
      <c r="M534" s="60">
        <f>K534+L534</f>
        <v>0</v>
      </c>
      <c r="N534" s="133"/>
      <c r="O534" s="60">
        <f>M534+N534</f>
        <v>0</v>
      </c>
      <c r="P534" s="133"/>
      <c r="Q534" s="60">
        <f>O534+P534</f>
        <v>0</v>
      </c>
    </row>
    <row r="535" spans="2:17" ht="47.25">
      <c r="B535" s="165" t="s">
        <v>575</v>
      </c>
      <c r="C535" s="97"/>
      <c r="D535" s="97" t="s">
        <v>92</v>
      </c>
      <c r="E535" s="97" t="s">
        <v>532</v>
      </c>
      <c r="F535" s="97"/>
      <c r="G535" s="60"/>
      <c r="H535" s="3"/>
      <c r="I535" s="60"/>
      <c r="J535" s="3"/>
      <c r="K535" s="60"/>
      <c r="L535" s="133"/>
      <c r="M535" s="60"/>
      <c r="N535" s="133"/>
      <c r="O535" s="60">
        <f>O536</f>
        <v>4548000</v>
      </c>
      <c r="P535" s="133"/>
      <c r="Q535" s="60">
        <f>Q536</f>
        <v>20670000</v>
      </c>
    </row>
    <row r="536" spans="2:17" s="188" customFormat="1" ht="15.75">
      <c r="B536" s="193" t="s">
        <v>320</v>
      </c>
      <c r="C536" s="189"/>
      <c r="D536" s="189" t="s">
        <v>92</v>
      </c>
      <c r="E536" s="189" t="s">
        <v>532</v>
      </c>
      <c r="F536" s="189" t="s">
        <v>325</v>
      </c>
      <c r="G536" s="185"/>
      <c r="H536" s="191"/>
      <c r="I536" s="185"/>
      <c r="J536" s="191"/>
      <c r="K536" s="185"/>
      <c r="L536" s="192"/>
      <c r="M536" s="185"/>
      <c r="N536" s="192">
        <v>4548000</v>
      </c>
      <c r="O536" s="185">
        <f>M536+N536</f>
        <v>4548000</v>
      </c>
      <c r="P536" s="192">
        <v>16122000</v>
      </c>
      <c r="Q536" s="185">
        <f>O536+P536</f>
        <v>20670000</v>
      </c>
    </row>
    <row r="537" spans="2:17" ht="33" customHeight="1">
      <c r="B537" s="96" t="s">
        <v>312</v>
      </c>
      <c r="C537" s="97" t="s">
        <v>448</v>
      </c>
      <c r="D537" s="97" t="s">
        <v>92</v>
      </c>
      <c r="E537" s="97" t="s">
        <v>262</v>
      </c>
      <c r="F537" s="97"/>
      <c r="G537" s="60">
        <f>G538</f>
        <v>0</v>
      </c>
      <c r="H537" s="3"/>
      <c r="I537" s="60">
        <f>I538</f>
        <v>42420</v>
      </c>
      <c r="J537" s="3"/>
      <c r="K537" s="60">
        <f>K538</f>
        <v>0</v>
      </c>
      <c r="L537" s="133"/>
      <c r="M537" s="60">
        <f>M538</f>
        <v>0</v>
      </c>
      <c r="N537" s="133"/>
      <c r="O537" s="60">
        <f>O538</f>
        <v>0</v>
      </c>
      <c r="P537" s="133"/>
      <c r="Q537" s="60">
        <f>Q538</f>
        <v>0</v>
      </c>
    </row>
    <row r="538" spans="2:17" ht="47.25">
      <c r="B538" s="109" t="s">
        <v>322</v>
      </c>
      <c r="C538" s="97" t="s">
        <v>448</v>
      </c>
      <c r="D538" s="97" t="s">
        <v>92</v>
      </c>
      <c r="E538" s="97" t="s">
        <v>262</v>
      </c>
      <c r="F538" s="97" t="s">
        <v>327</v>
      </c>
      <c r="G538" s="60">
        <v>0</v>
      </c>
      <c r="H538" s="3">
        <v>42420</v>
      </c>
      <c r="I538" s="60">
        <f>G538+H538</f>
        <v>42420</v>
      </c>
      <c r="J538" s="3">
        <v>-42420</v>
      </c>
      <c r="K538" s="60">
        <f>I538+J538</f>
        <v>0</v>
      </c>
      <c r="L538" s="133"/>
      <c r="M538" s="60">
        <f>K538+L538</f>
        <v>0</v>
      </c>
      <c r="N538" s="133"/>
      <c r="O538" s="60">
        <f>M538+N538</f>
        <v>0</v>
      </c>
      <c r="P538" s="133"/>
      <c r="Q538" s="60">
        <f>O538+P538</f>
        <v>0</v>
      </c>
    </row>
    <row r="539" spans="2:17" ht="34.5" customHeight="1" hidden="1">
      <c r="B539" s="31" t="s">
        <v>382</v>
      </c>
      <c r="C539" s="44"/>
      <c r="D539" s="44" t="s">
        <v>92</v>
      </c>
      <c r="E539" s="44" t="s">
        <v>287</v>
      </c>
      <c r="F539" s="44" t="s">
        <v>328</v>
      </c>
      <c r="G539" s="60">
        <v>0</v>
      </c>
      <c r="H539" s="40"/>
      <c r="I539" s="60">
        <f>G539+H539</f>
        <v>0</v>
      </c>
      <c r="J539" s="40"/>
      <c r="K539" s="60">
        <f>I539+J539</f>
        <v>0</v>
      </c>
      <c r="L539" s="135"/>
      <c r="M539" s="60">
        <f>K539+L539</f>
        <v>0</v>
      </c>
      <c r="N539" s="135"/>
      <c r="O539" s="60">
        <f>M539+N539</f>
        <v>0</v>
      </c>
      <c r="P539" s="135"/>
      <c r="Q539" s="60">
        <f>O539+P539</f>
        <v>0</v>
      </c>
    </row>
    <row r="540" spans="2:17" ht="31.5">
      <c r="B540" s="12" t="s">
        <v>222</v>
      </c>
      <c r="C540" s="6"/>
      <c r="D540" s="44" t="s">
        <v>220</v>
      </c>
      <c r="E540" s="6"/>
      <c r="F540" s="6"/>
      <c r="G540" s="60">
        <f>G541+G546+G552</f>
        <v>0</v>
      </c>
      <c r="H540" s="3"/>
      <c r="I540" s="60">
        <f>I541+I546+I552</f>
        <v>1947900</v>
      </c>
      <c r="J540" s="3"/>
      <c r="K540" s="60">
        <f>K541+K546+K552</f>
        <v>3764320</v>
      </c>
      <c r="L540" s="133"/>
      <c r="M540" s="60">
        <f>M541+M546+M552</f>
        <v>3764825.5</v>
      </c>
      <c r="N540" s="133"/>
      <c r="O540" s="60">
        <f>O541+O546+O552+O564</f>
        <v>11479328.57</v>
      </c>
      <c r="P540" s="133"/>
      <c r="Q540" s="60">
        <f>Q541+Q546+Q552+Q564</f>
        <v>11421328.57</v>
      </c>
    </row>
    <row r="541" spans="2:17" ht="15.75">
      <c r="B541" s="12" t="s">
        <v>9</v>
      </c>
      <c r="C541" s="6"/>
      <c r="D541" s="44" t="s">
        <v>220</v>
      </c>
      <c r="E541" s="6" t="s">
        <v>120</v>
      </c>
      <c r="F541" s="6"/>
      <c r="G541" s="60">
        <f>G542+G543+G545</f>
        <v>0</v>
      </c>
      <c r="H541" s="3"/>
      <c r="I541" s="60">
        <f>I542+I543+I545+I544</f>
        <v>439900</v>
      </c>
      <c r="J541" s="3"/>
      <c r="K541" s="60">
        <f>K542+K543+K545+K544</f>
        <v>439900</v>
      </c>
      <c r="L541" s="133"/>
      <c r="M541" s="60">
        <f>M542+M543+M545+M544+M551</f>
        <v>439900</v>
      </c>
      <c r="N541" s="133"/>
      <c r="O541" s="60">
        <f>O542+O543+O545+O544+O551</f>
        <v>439900</v>
      </c>
      <c r="P541" s="133"/>
      <c r="Q541" s="60">
        <f>Q542+Q543+Q545+Q544+Q551</f>
        <v>439900</v>
      </c>
    </row>
    <row r="542" spans="2:17" ht="15.75">
      <c r="B542" s="31" t="s">
        <v>320</v>
      </c>
      <c r="C542" s="6"/>
      <c r="D542" s="44" t="s">
        <v>220</v>
      </c>
      <c r="E542" s="6" t="s">
        <v>120</v>
      </c>
      <c r="F542" s="6" t="s">
        <v>353</v>
      </c>
      <c r="G542" s="60">
        <v>0</v>
      </c>
      <c r="H542" s="3">
        <v>426546</v>
      </c>
      <c r="I542" s="60">
        <f>G542+H542</f>
        <v>426546</v>
      </c>
      <c r="J542" s="3">
        <v>0</v>
      </c>
      <c r="K542" s="60">
        <f>I542+J542</f>
        <v>426546</v>
      </c>
      <c r="L542" s="133"/>
      <c r="M542" s="60">
        <f>K542+L542</f>
        <v>426546</v>
      </c>
      <c r="N542" s="133"/>
      <c r="O542" s="60">
        <f>M542+N542</f>
        <v>426546</v>
      </c>
      <c r="P542" s="133"/>
      <c r="Q542" s="60">
        <f>O542+P542</f>
        <v>426546</v>
      </c>
    </row>
    <row r="543" spans="2:17" ht="31.5">
      <c r="B543" s="31" t="s">
        <v>321</v>
      </c>
      <c r="C543" s="6"/>
      <c r="D543" s="44" t="s">
        <v>220</v>
      </c>
      <c r="E543" s="6" t="s">
        <v>120</v>
      </c>
      <c r="F543" s="6" t="s">
        <v>354</v>
      </c>
      <c r="G543" s="60">
        <v>0</v>
      </c>
      <c r="H543" s="3">
        <v>4800</v>
      </c>
      <c r="I543" s="60">
        <f>G543+H543</f>
        <v>4800</v>
      </c>
      <c r="J543" s="3">
        <v>0</v>
      </c>
      <c r="K543" s="60">
        <f>I543+J543</f>
        <v>4800</v>
      </c>
      <c r="L543" s="133"/>
      <c r="M543" s="60">
        <f>K543+L543</f>
        <v>4800</v>
      </c>
      <c r="N543" s="133"/>
      <c r="O543" s="60">
        <f>M543+N543</f>
        <v>4800</v>
      </c>
      <c r="P543" s="133"/>
      <c r="Q543" s="60">
        <f>O543+P543</f>
        <v>4800</v>
      </c>
    </row>
    <row r="544" spans="2:17" ht="47.25">
      <c r="B544" s="31" t="s">
        <v>322</v>
      </c>
      <c r="C544" s="6"/>
      <c r="D544" s="101" t="s">
        <v>220</v>
      </c>
      <c r="E544" s="103" t="s">
        <v>120</v>
      </c>
      <c r="F544" s="103" t="s">
        <v>327</v>
      </c>
      <c r="G544" s="60"/>
      <c r="H544" s="3">
        <v>7660</v>
      </c>
      <c r="I544" s="60">
        <v>7600</v>
      </c>
      <c r="J544" s="3">
        <v>0</v>
      </c>
      <c r="K544" s="60">
        <f>I544+J544</f>
        <v>7600</v>
      </c>
      <c r="L544" s="133">
        <v>250</v>
      </c>
      <c r="M544" s="60">
        <f>K544+L544</f>
        <v>7850</v>
      </c>
      <c r="N544" s="133">
        <v>0</v>
      </c>
      <c r="O544" s="60">
        <f>M544+N544</f>
        <v>7850</v>
      </c>
      <c r="P544" s="133"/>
      <c r="Q544" s="60">
        <f>O544+P544</f>
        <v>7850</v>
      </c>
    </row>
    <row r="545" spans="2:17" ht="31.5">
      <c r="B545" s="31" t="s">
        <v>382</v>
      </c>
      <c r="C545" s="6"/>
      <c r="D545" s="44" t="s">
        <v>220</v>
      </c>
      <c r="E545" s="6" t="s">
        <v>120</v>
      </c>
      <c r="F545" s="6" t="s">
        <v>328</v>
      </c>
      <c r="G545" s="60">
        <v>0</v>
      </c>
      <c r="H545" s="3">
        <v>894</v>
      </c>
      <c r="I545" s="60">
        <v>954</v>
      </c>
      <c r="J545" s="3">
        <v>0</v>
      </c>
      <c r="K545" s="60">
        <f>I545+J545</f>
        <v>954</v>
      </c>
      <c r="L545" s="133">
        <v>-250.01</v>
      </c>
      <c r="M545" s="60">
        <f>K545+L545</f>
        <v>703.99</v>
      </c>
      <c r="N545" s="133">
        <v>0</v>
      </c>
      <c r="O545" s="60">
        <f>M545+N545</f>
        <v>703.99</v>
      </c>
      <c r="P545" s="133"/>
      <c r="Q545" s="60">
        <f>O545+P545</f>
        <v>703.99</v>
      </c>
    </row>
    <row r="546" spans="2:17" ht="0.75" customHeight="1" hidden="1">
      <c r="B546" s="12" t="s">
        <v>214</v>
      </c>
      <c r="C546" s="6"/>
      <c r="D546" s="44" t="s">
        <v>220</v>
      </c>
      <c r="E546" s="6">
        <v>4520000</v>
      </c>
      <c r="F546" s="6"/>
      <c r="G546" s="60">
        <f>G547+G548+G549+G550</f>
        <v>0</v>
      </c>
      <c r="H546" s="3"/>
      <c r="I546" s="60">
        <f>I547+I548+I549+I550</f>
        <v>0</v>
      </c>
      <c r="J546" s="3"/>
      <c r="K546" s="60">
        <f>K547+K548+K549+K550</f>
        <v>0</v>
      </c>
      <c r="L546" s="133"/>
      <c r="M546" s="60">
        <f>M547+M548+M549+M550</f>
        <v>0</v>
      </c>
      <c r="N546" s="133"/>
      <c r="O546" s="60">
        <f>O547+O548+O549+O550</f>
        <v>0</v>
      </c>
      <c r="P546" s="133"/>
      <c r="Q546" s="60">
        <f>Q547+Q548+Q549+Q550</f>
        <v>0</v>
      </c>
    </row>
    <row r="547" spans="2:17" ht="13.5" customHeight="1" hidden="1">
      <c r="B547" s="31" t="s">
        <v>320</v>
      </c>
      <c r="C547" s="6"/>
      <c r="D547" s="44" t="s">
        <v>220</v>
      </c>
      <c r="E547" s="6" t="s">
        <v>121</v>
      </c>
      <c r="F547" s="6" t="s">
        <v>325</v>
      </c>
      <c r="G547" s="60">
        <v>0</v>
      </c>
      <c r="H547" s="3">
        <v>0</v>
      </c>
      <c r="I547" s="60">
        <f>G547+H547</f>
        <v>0</v>
      </c>
      <c r="J547" s="3">
        <v>0</v>
      </c>
      <c r="K547" s="60">
        <f>I547+J547</f>
        <v>0</v>
      </c>
      <c r="L547" s="133"/>
      <c r="M547" s="60">
        <f>K547+L547</f>
        <v>0</v>
      </c>
      <c r="N547" s="133"/>
      <c r="O547" s="60">
        <f>M547+N547</f>
        <v>0</v>
      </c>
      <c r="P547" s="133"/>
      <c r="Q547" s="60">
        <f>O547+P547</f>
        <v>0</v>
      </c>
    </row>
    <row r="548" spans="2:17" ht="14.25" customHeight="1" hidden="1">
      <c r="B548" s="31" t="s">
        <v>321</v>
      </c>
      <c r="C548" s="6"/>
      <c r="D548" s="44" t="s">
        <v>220</v>
      </c>
      <c r="E548" s="6">
        <v>4520000</v>
      </c>
      <c r="F548" s="6" t="s">
        <v>326</v>
      </c>
      <c r="G548" s="60">
        <v>0</v>
      </c>
      <c r="H548" s="3">
        <v>0</v>
      </c>
      <c r="I548" s="60">
        <f>G548+H548</f>
        <v>0</v>
      </c>
      <c r="J548" s="3">
        <v>0</v>
      </c>
      <c r="K548" s="60">
        <f>I548+J548</f>
        <v>0</v>
      </c>
      <c r="L548" s="133"/>
      <c r="M548" s="60">
        <f>K548+L548</f>
        <v>0</v>
      </c>
      <c r="N548" s="133"/>
      <c r="O548" s="60">
        <f>M548+N548</f>
        <v>0</v>
      </c>
      <c r="P548" s="133"/>
      <c r="Q548" s="60">
        <f>O548+P548</f>
        <v>0</v>
      </c>
    </row>
    <row r="549" spans="2:17" ht="4.5" customHeight="1" hidden="1">
      <c r="B549" s="31" t="s">
        <v>322</v>
      </c>
      <c r="C549" s="6"/>
      <c r="D549" s="44" t="s">
        <v>220</v>
      </c>
      <c r="E549" s="6">
        <v>4520000</v>
      </c>
      <c r="F549" s="6" t="s">
        <v>327</v>
      </c>
      <c r="G549" s="60">
        <v>0</v>
      </c>
      <c r="H549" s="3">
        <v>0</v>
      </c>
      <c r="I549" s="60">
        <f>G549+H549</f>
        <v>0</v>
      </c>
      <c r="J549" s="3">
        <v>0</v>
      </c>
      <c r="K549" s="60">
        <f>I549+J549</f>
        <v>0</v>
      </c>
      <c r="L549" s="133"/>
      <c r="M549" s="60">
        <f>K549+L549</f>
        <v>0</v>
      </c>
      <c r="N549" s="133"/>
      <c r="O549" s="60">
        <f>M549+N549</f>
        <v>0</v>
      </c>
      <c r="P549" s="133"/>
      <c r="Q549" s="60">
        <f>O549+P549</f>
        <v>0</v>
      </c>
    </row>
    <row r="550" spans="2:17" ht="23.25" customHeight="1" hidden="1">
      <c r="B550" s="31" t="s">
        <v>382</v>
      </c>
      <c r="C550" s="6"/>
      <c r="D550" s="44" t="s">
        <v>220</v>
      </c>
      <c r="E550" s="6" t="s">
        <v>121</v>
      </c>
      <c r="F550" s="6" t="s">
        <v>328</v>
      </c>
      <c r="G550" s="60">
        <v>0</v>
      </c>
      <c r="H550" s="3">
        <v>0</v>
      </c>
      <c r="I550" s="60">
        <f>G550+H550</f>
        <v>0</v>
      </c>
      <c r="J550" s="3">
        <v>0</v>
      </c>
      <c r="K550" s="60">
        <f>I550+J550</f>
        <v>0</v>
      </c>
      <c r="L550" s="133"/>
      <c r="M550" s="60">
        <f>K550+L550</f>
        <v>0</v>
      </c>
      <c r="N550" s="133"/>
      <c r="O550" s="60">
        <f>M550+N550</f>
        <v>0</v>
      </c>
      <c r="P550" s="133"/>
      <c r="Q550" s="60">
        <f>O550+P550</f>
        <v>0</v>
      </c>
    </row>
    <row r="551" spans="2:17" ht="30" customHeight="1">
      <c r="B551" s="31" t="s">
        <v>355</v>
      </c>
      <c r="C551" s="6"/>
      <c r="D551" s="44" t="s">
        <v>220</v>
      </c>
      <c r="E551" s="6" t="s">
        <v>120</v>
      </c>
      <c r="F551" s="103" t="s">
        <v>329</v>
      </c>
      <c r="G551" s="60"/>
      <c r="H551" s="3"/>
      <c r="I551" s="60"/>
      <c r="J551" s="3"/>
      <c r="K551" s="60"/>
      <c r="L551" s="133">
        <v>0.01</v>
      </c>
      <c r="M551" s="60">
        <f>K551+L551</f>
        <v>0.01</v>
      </c>
      <c r="N551" s="133">
        <v>0</v>
      </c>
      <c r="O551" s="60">
        <f>M551+N551</f>
        <v>0.01</v>
      </c>
      <c r="P551" s="133"/>
      <c r="Q551" s="60">
        <f>O551+P551</f>
        <v>0.01</v>
      </c>
    </row>
    <row r="552" spans="2:17" ht="15.75">
      <c r="B552" s="12" t="s">
        <v>313</v>
      </c>
      <c r="C552" s="6"/>
      <c r="D552" s="44" t="s">
        <v>220</v>
      </c>
      <c r="E552" s="6" t="s">
        <v>104</v>
      </c>
      <c r="F552" s="6"/>
      <c r="G552" s="60">
        <f>G553+G555+G557+G562</f>
        <v>0</v>
      </c>
      <c r="H552" s="3"/>
      <c r="I552" s="60">
        <f>I553+I555+I557+I562</f>
        <v>1508000</v>
      </c>
      <c r="J552" s="3"/>
      <c r="K552" s="60">
        <f>K553+K555+K557+K562+K560</f>
        <v>3324420</v>
      </c>
      <c r="L552" s="133"/>
      <c r="M552" s="60">
        <f>M553+M555+M557+M562+M560</f>
        <v>3324925.5</v>
      </c>
      <c r="N552" s="133"/>
      <c r="O552" s="60">
        <f>O553+O555+O557+O562+O560</f>
        <v>3319428.57</v>
      </c>
      <c r="P552" s="133"/>
      <c r="Q552" s="60">
        <f>Q553+Q555+Q557+Q562+Q560</f>
        <v>3261428.57</v>
      </c>
    </row>
    <row r="553" spans="2:17" ht="15.75">
      <c r="B553" s="109" t="s">
        <v>481</v>
      </c>
      <c r="C553" s="6"/>
      <c r="D553" s="44" t="s">
        <v>220</v>
      </c>
      <c r="E553" s="6" t="s">
        <v>261</v>
      </c>
      <c r="F553" s="6"/>
      <c r="G553" s="60">
        <f>G554</f>
        <v>0</v>
      </c>
      <c r="H553" s="3"/>
      <c r="I553" s="60">
        <f>I554</f>
        <v>600000</v>
      </c>
      <c r="J553" s="3"/>
      <c r="K553" s="60">
        <f>K554</f>
        <v>600000</v>
      </c>
      <c r="L553" s="133"/>
      <c r="M553" s="60">
        <f>M554</f>
        <v>600000</v>
      </c>
      <c r="N553" s="133"/>
      <c r="O553" s="60">
        <f>O554</f>
        <v>600000</v>
      </c>
      <c r="P553" s="133"/>
      <c r="Q553" s="60">
        <f>Q554</f>
        <v>600000</v>
      </c>
    </row>
    <row r="554" spans="2:17" ht="18" customHeight="1">
      <c r="B554" s="31" t="s">
        <v>334</v>
      </c>
      <c r="C554" s="6"/>
      <c r="D554" s="44" t="s">
        <v>220</v>
      </c>
      <c r="E554" s="6" t="s">
        <v>261</v>
      </c>
      <c r="F554" s="6" t="s">
        <v>335</v>
      </c>
      <c r="G554" s="60">
        <v>0</v>
      </c>
      <c r="H554" s="3">
        <v>600000</v>
      </c>
      <c r="I554" s="60">
        <f>G554+H554</f>
        <v>600000</v>
      </c>
      <c r="J554" s="3">
        <v>0</v>
      </c>
      <c r="K554" s="60">
        <f>I554+J554</f>
        <v>600000</v>
      </c>
      <c r="L554" s="133"/>
      <c r="M554" s="60">
        <f>K554+L554</f>
        <v>600000</v>
      </c>
      <c r="N554" s="133"/>
      <c r="O554" s="60">
        <f>M554+N554</f>
        <v>600000</v>
      </c>
      <c r="P554" s="133"/>
      <c r="Q554" s="60">
        <f>O554+P554</f>
        <v>600000</v>
      </c>
    </row>
    <row r="555" spans="2:17" ht="0.75" customHeight="1" hidden="1">
      <c r="B555" s="99" t="s">
        <v>435</v>
      </c>
      <c r="C555" s="6"/>
      <c r="D555" s="44" t="s">
        <v>220</v>
      </c>
      <c r="E555" s="6" t="s">
        <v>260</v>
      </c>
      <c r="F555" s="6"/>
      <c r="G555" s="60">
        <f>G556</f>
        <v>0</v>
      </c>
      <c r="H555" s="3"/>
      <c r="I555" s="60">
        <f>I556</f>
        <v>0</v>
      </c>
      <c r="J555" s="3"/>
      <c r="K555" s="60">
        <f>K556</f>
        <v>0</v>
      </c>
      <c r="L555" s="133"/>
      <c r="M555" s="60">
        <f>M556</f>
        <v>0</v>
      </c>
      <c r="N555" s="133"/>
      <c r="O555" s="60">
        <f>O556</f>
        <v>0</v>
      </c>
      <c r="P555" s="133"/>
      <c r="Q555" s="60">
        <f>Q556</f>
        <v>0</v>
      </c>
    </row>
    <row r="556" spans="2:17" ht="21" customHeight="1" hidden="1">
      <c r="B556" s="31" t="s">
        <v>334</v>
      </c>
      <c r="C556" s="6"/>
      <c r="D556" s="44" t="s">
        <v>220</v>
      </c>
      <c r="E556" s="6" t="s">
        <v>260</v>
      </c>
      <c r="F556" s="6" t="s">
        <v>335</v>
      </c>
      <c r="G556" s="60">
        <v>0</v>
      </c>
      <c r="H556" s="3"/>
      <c r="I556" s="60">
        <f>G556+H556</f>
        <v>0</v>
      </c>
      <c r="J556" s="3"/>
      <c r="K556" s="60">
        <f>I556+J556</f>
        <v>0</v>
      </c>
      <c r="L556" s="133"/>
      <c r="M556" s="60">
        <f>K556+L556</f>
        <v>0</v>
      </c>
      <c r="N556" s="133"/>
      <c r="O556" s="60">
        <f>M556+N556</f>
        <v>0</v>
      </c>
      <c r="P556" s="133"/>
      <c r="Q556" s="60">
        <f>O556+P556</f>
        <v>0</v>
      </c>
    </row>
    <row r="557" spans="2:17" ht="47.25">
      <c r="B557" s="12" t="s">
        <v>576</v>
      </c>
      <c r="C557" s="6"/>
      <c r="D557" s="44" t="s">
        <v>220</v>
      </c>
      <c r="E557" s="6" t="s">
        <v>285</v>
      </c>
      <c r="F557" s="6"/>
      <c r="G557" s="60">
        <f>G558+G559</f>
        <v>0</v>
      </c>
      <c r="H557" s="3"/>
      <c r="I557" s="60">
        <f>I558+I559</f>
        <v>850000</v>
      </c>
      <c r="J557" s="3"/>
      <c r="K557" s="60">
        <f>K558+K559</f>
        <v>2624000</v>
      </c>
      <c r="L557" s="133"/>
      <c r="M557" s="60">
        <f>M558+M559</f>
        <v>2624000</v>
      </c>
      <c r="N557" s="133"/>
      <c r="O557" s="60">
        <f>O558+O559</f>
        <v>2624000</v>
      </c>
      <c r="P557" s="133"/>
      <c r="Q557" s="60">
        <f>Q558+Q559</f>
        <v>2624000</v>
      </c>
    </row>
    <row r="558" spans="2:17" ht="47.25">
      <c r="B558" s="12" t="s">
        <v>376</v>
      </c>
      <c r="C558" s="6"/>
      <c r="D558" s="44" t="s">
        <v>220</v>
      </c>
      <c r="E558" s="6" t="s">
        <v>285</v>
      </c>
      <c r="F558" s="6" t="s">
        <v>331</v>
      </c>
      <c r="G558" s="60">
        <v>0</v>
      </c>
      <c r="H558" s="3">
        <v>300000</v>
      </c>
      <c r="I558" s="60">
        <v>300000</v>
      </c>
      <c r="J558" s="3">
        <v>1744000</v>
      </c>
      <c r="K558" s="60">
        <f>I558+J558</f>
        <v>2044000</v>
      </c>
      <c r="L558" s="133"/>
      <c r="M558" s="60">
        <f>K558+L558</f>
        <v>2044000</v>
      </c>
      <c r="N558" s="133"/>
      <c r="O558" s="60">
        <f>M558+N558</f>
        <v>2044000</v>
      </c>
      <c r="P558" s="133"/>
      <c r="Q558" s="60">
        <f>O558+P558</f>
        <v>2044000</v>
      </c>
    </row>
    <row r="559" spans="2:17" ht="15.75">
      <c r="B559" s="31" t="s">
        <v>334</v>
      </c>
      <c r="C559" s="6"/>
      <c r="D559" s="44" t="s">
        <v>220</v>
      </c>
      <c r="E559" s="6" t="s">
        <v>285</v>
      </c>
      <c r="F559" s="6" t="s">
        <v>335</v>
      </c>
      <c r="G559" s="60">
        <v>0</v>
      </c>
      <c r="H559" s="3">
        <v>550000</v>
      </c>
      <c r="I559" s="60">
        <f>G559+H559</f>
        <v>550000</v>
      </c>
      <c r="J559" s="3">
        <v>30000</v>
      </c>
      <c r="K559" s="60">
        <f>I559+J559</f>
        <v>580000</v>
      </c>
      <c r="L559" s="133"/>
      <c r="M559" s="60">
        <f>K559+L559</f>
        <v>580000</v>
      </c>
      <c r="N559" s="133"/>
      <c r="O559" s="60">
        <f>M559+N559</f>
        <v>580000</v>
      </c>
      <c r="P559" s="133"/>
      <c r="Q559" s="60">
        <f>O559+P559</f>
        <v>580000</v>
      </c>
    </row>
    <row r="560" spans="2:17" ht="33.75" customHeight="1">
      <c r="B560" s="96" t="s">
        <v>312</v>
      </c>
      <c r="C560" s="97" t="s">
        <v>448</v>
      </c>
      <c r="D560" s="97" t="s">
        <v>220</v>
      </c>
      <c r="E560" s="97" t="s">
        <v>262</v>
      </c>
      <c r="F560" s="97"/>
      <c r="G560" s="60"/>
      <c r="H560" s="3"/>
      <c r="I560" s="60"/>
      <c r="J560" s="3"/>
      <c r="K560" s="60">
        <f>K561</f>
        <v>42420</v>
      </c>
      <c r="L560" s="133"/>
      <c r="M560" s="60">
        <f>M561</f>
        <v>42925.5</v>
      </c>
      <c r="N560" s="133"/>
      <c r="O560" s="60">
        <f>O561</f>
        <v>37428.57</v>
      </c>
      <c r="P560" s="133"/>
      <c r="Q560" s="60">
        <f>Q561</f>
        <v>37428.57</v>
      </c>
    </row>
    <row r="561" spans="2:17" ht="47.25">
      <c r="B561" s="109" t="s">
        <v>322</v>
      </c>
      <c r="C561" s="97" t="s">
        <v>448</v>
      </c>
      <c r="D561" s="97" t="s">
        <v>220</v>
      </c>
      <c r="E561" s="97" t="s">
        <v>262</v>
      </c>
      <c r="F561" s="97" t="s">
        <v>327</v>
      </c>
      <c r="G561" s="60"/>
      <c r="H561" s="3"/>
      <c r="I561" s="60"/>
      <c r="J561" s="3">
        <v>42420</v>
      </c>
      <c r="K561" s="60">
        <f>I561+J561</f>
        <v>42420</v>
      </c>
      <c r="L561" s="133">
        <v>505.5</v>
      </c>
      <c r="M561" s="60">
        <f>K561+L561</f>
        <v>42925.5</v>
      </c>
      <c r="N561" s="133">
        <v>-5496.93</v>
      </c>
      <c r="O561" s="60">
        <f>M561+N561</f>
        <v>37428.57</v>
      </c>
      <c r="P561" s="133"/>
      <c r="Q561" s="60">
        <f>O561+P561</f>
        <v>37428.57</v>
      </c>
    </row>
    <row r="562" spans="2:17" ht="96" customHeight="1">
      <c r="B562" s="125" t="s">
        <v>463</v>
      </c>
      <c r="C562" s="127" t="s">
        <v>448</v>
      </c>
      <c r="D562" s="103" t="s">
        <v>220</v>
      </c>
      <c r="E562" s="103" t="s">
        <v>268</v>
      </c>
      <c r="F562" s="103"/>
      <c r="G562" s="60">
        <f>G563</f>
        <v>0</v>
      </c>
      <c r="H562" s="3"/>
      <c r="I562" s="60">
        <f>I563</f>
        <v>58000</v>
      </c>
      <c r="J562" s="3"/>
      <c r="K562" s="60">
        <f>K563</f>
        <v>58000</v>
      </c>
      <c r="L562" s="133"/>
      <c r="M562" s="60">
        <f>M563</f>
        <v>58000</v>
      </c>
      <c r="N562" s="133"/>
      <c r="O562" s="60">
        <f>O563</f>
        <v>58000</v>
      </c>
      <c r="P562" s="133"/>
      <c r="Q562" s="60">
        <f>Q563</f>
        <v>0</v>
      </c>
    </row>
    <row r="563" spans="2:17" ht="19.5" customHeight="1">
      <c r="B563" s="96" t="s">
        <v>334</v>
      </c>
      <c r="C563" s="103" t="s">
        <v>448</v>
      </c>
      <c r="D563" s="103" t="s">
        <v>220</v>
      </c>
      <c r="E563" s="103" t="s">
        <v>268</v>
      </c>
      <c r="F563" s="103" t="s">
        <v>335</v>
      </c>
      <c r="G563" s="60">
        <v>0</v>
      </c>
      <c r="H563" s="3">
        <v>58000</v>
      </c>
      <c r="I563" s="60">
        <f>G563+H563</f>
        <v>58000</v>
      </c>
      <c r="J563" s="3">
        <v>0</v>
      </c>
      <c r="K563" s="60">
        <f>I563+J563</f>
        <v>58000</v>
      </c>
      <c r="L563" s="133"/>
      <c r="M563" s="60">
        <f>K563+L563</f>
        <v>58000</v>
      </c>
      <c r="N563" s="133"/>
      <c r="O563" s="60">
        <f>M563+N563</f>
        <v>58000</v>
      </c>
      <c r="P563" s="133">
        <v>-58000</v>
      </c>
      <c r="Q563" s="60">
        <f>O563+P563</f>
        <v>0</v>
      </c>
    </row>
    <row r="564" spans="2:17" ht="66.75" customHeight="1">
      <c r="B564" s="23" t="s">
        <v>310</v>
      </c>
      <c r="C564" s="44"/>
      <c r="D564" s="44" t="s">
        <v>220</v>
      </c>
      <c r="E564" s="44" t="s">
        <v>287</v>
      </c>
      <c r="F564" s="44"/>
      <c r="G564" s="60" t="e">
        <f>G566</f>
        <v>#REF!</v>
      </c>
      <c r="H564" s="40"/>
      <c r="I564" s="60" t="e">
        <f>G564+H564</f>
        <v>#REF!</v>
      </c>
      <c r="J564" s="40"/>
      <c r="K564" s="60" t="e">
        <f>I564+J564</f>
        <v>#REF!</v>
      </c>
      <c r="L564" s="135"/>
      <c r="M564" s="60"/>
      <c r="N564" s="135"/>
      <c r="O564" s="60">
        <f>O565</f>
        <v>7720000</v>
      </c>
      <c r="P564" s="135"/>
      <c r="Q564" s="60">
        <f>Q565</f>
        <v>7720000</v>
      </c>
    </row>
    <row r="565" spans="2:17" ht="51" customHeight="1">
      <c r="B565" s="12" t="s">
        <v>376</v>
      </c>
      <c r="C565" s="44"/>
      <c r="D565" s="44" t="s">
        <v>220</v>
      </c>
      <c r="E565" s="44" t="s">
        <v>287</v>
      </c>
      <c r="F565" s="44" t="s">
        <v>331</v>
      </c>
      <c r="G565" s="60"/>
      <c r="H565" s="40"/>
      <c r="I565" s="60"/>
      <c r="J565" s="40"/>
      <c r="K565" s="60"/>
      <c r="L565" s="135"/>
      <c r="M565" s="60"/>
      <c r="N565" s="135">
        <v>7720000</v>
      </c>
      <c r="O565" s="60">
        <f>M565+N565</f>
        <v>7720000</v>
      </c>
      <c r="P565" s="135"/>
      <c r="Q565" s="60">
        <f>O565+P565</f>
        <v>7720000</v>
      </c>
    </row>
    <row r="566" spans="2:17" ht="15.75">
      <c r="B566" s="82" t="s">
        <v>96</v>
      </c>
      <c r="C566" s="6">
        <v>1000</v>
      </c>
      <c r="D566" s="47" t="s">
        <v>175</v>
      </c>
      <c r="E566" s="6"/>
      <c r="F566" s="6"/>
      <c r="G566" s="60" t="e">
        <f>G567+G571+#REF!+G612</f>
        <v>#REF!</v>
      </c>
      <c r="H566" s="3"/>
      <c r="I566" s="60">
        <f>I567+I571+I612</f>
        <v>85503800</v>
      </c>
      <c r="J566" s="3"/>
      <c r="K566" s="60">
        <f>K567+K571+K612+K623</f>
        <v>85653800</v>
      </c>
      <c r="L566" s="133"/>
      <c r="M566" s="60">
        <f>M567+M571+M612+M623</f>
        <v>86458600</v>
      </c>
      <c r="N566" s="133"/>
      <c r="O566" s="60">
        <f>O567+O571+O612</f>
        <v>86555316.52</v>
      </c>
      <c r="P566" s="133"/>
      <c r="Q566" s="60">
        <f>Q567+Q571+Q612</f>
        <v>89945224.92</v>
      </c>
    </row>
    <row r="567" spans="2:17" ht="15.75">
      <c r="B567" s="18" t="s">
        <v>103</v>
      </c>
      <c r="C567" s="6"/>
      <c r="D567" s="44" t="s">
        <v>107</v>
      </c>
      <c r="E567" s="6"/>
      <c r="F567" s="6"/>
      <c r="G567" s="60">
        <f>G568</f>
        <v>0</v>
      </c>
      <c r="H567" s="3"/>
      <c r="I567" s="60">
        <f>I568</f>
        <v>4747900</v>
      </c>
      <c r="J567" s="3"/>
      <c r="K567" s="60">
        <f>K568</f>
        <v>4747900</v>
      </c>
      <c r="L567" s="133"/>
      <c r="M567" s="60">
        <f>M568</f>
        <v>4747900</v>
      </c>
      <c r="N567" s="133"/>
      <c r="O567" s="60">
        <f>O568</f>
        <v>4844616.52</v>
      </c>
      <c r="P567" s="133"/>
      <c r="Q567" s="60">
        <f>Q568</f>
        <v>4844616.52</v>
      </c>
    </row>
    <row r="568" spans="2:17" ht="31.5">
      <c r="B568" s="18" t="s">
        <v>109</v>
      </c>
      <c r="C568" s="6"/>
      <c r="D568" s="44" t="s">
        <v>107</v>
      </c>
      <c r="E568" s="6" t="s">
        <v>110</v>
      </c>
      <c r="F568" s="6"/>
      <c r="G568" s="60">
        <f>G569</f>
        <v>0</v>
      </c>
      <c r="H568" s="3"/>
      <c r="I568" s="60">
        <f>I569</f>
        <v>4747900</v>
      </c>
      <c r="J568" s="3"/>
      <c r="K568" s="60">
        <f>K569</f>
        <v>4747900</v>
      </c>
      <c r="L568" s="133"/>
      <c r="M568" s="60">
        <f>M569</f>
        <v>4747900</v>
      </c>
      <c r="N568" s="133"/>
      <c r="O568" s="60">
        <f>O569</f>
        <v>4844616.52</v>
      </c>
      <c r="P568" s="133"/>
      <c r="Q568" s="60">
        <f>Q569</f>
        <v>4844616.52</v>
      </c>
    </row>
    <row r="569" spans="2:17" ht="50.25" customHeight="1">
      <c r="B569" s="18" t="s">
        <v>108</v>
      </c>
      <c r="C569" s="6"/>
      <c r="D569" s="44" t="s">
        <v>107</v>
      </c>
      <c r="E569" s="6" t="s">
        <v>111</v>
      </c>
      <c r="F569" s="6"/>
      <c r="G569" s="60">
        <f>G570</f>
        <v>0</v>
      </c>
      <c r="H569" s="3"/>
      <c r="I569" s="60">
        <f>I570</f>
        <v>4747900</v>
      </c>
      <c r="J569" s="3"/>
      <c r="K569" s="60">
        <f>K570</f>
        <v>4747900</v>
      </c>
      <c r="L569" s="133"/>
      <c r="M569" s="60">
        <f>M570</f>
        <v>4747900</v>
      </c>
      <c r="N569" s="133"/>
      <c r="O569" s="60">
        <f>O570</f>
        <v>4844616.52</v>
      </c>
      <c r="P569" s="133"/>
      <c r="Q569" s="60">
        <f>Q570</f>
        <v>4844616.52</v>
      </c>
    </row>
    <row r="570" spans="2:17" ht="36" customHeight="1">
      <c r="B570" s="12" t="s">
        <v>363</v>
      </c>
      <c r="C570" s="6" t="s">
        <v>231</v>
      </c>
      <c r="D570" s="6" t="s">
        <v>107</v>
      </c>
      <c r="E570" s="6" t="s">
        <v>111</v>
      </c>
      <c r="F570" s="6" t="s">
        <v>364</v>
      </c>
      <c r="G570" s="60">
        <v>0</v>
      </c>
      <c r="H570" s="3">
        <v>4747900</v>
      </c>
      <c r="I570" s="60">
        <f>G570+H570</f>
        <v>4747900</v>
      </c>
      <c r="J570" s="3">
        <v>0</v>
      </c>
      <c r="K570" s="60">
        <f>I570+J570</f>
        <v>4747900</v>
      </c>
      <c r="L570" s="133"/>
      <c r="M570" s="60">
        <f>K570+L570</f>
        <v>4747900</v>
      </c>
      <c r="N570" s="133">
        <v>96716.52</v>
      </c>
      <c r="O570" s="60">
        <f>M570+N570</f>
        <v>4844616.52</v>
      </c>
      <c r="P570" s="133"/>
      <c r="Q570" s="60">
        <f>O570+P570</f>
        <v>4844616.52</v>
      </c>
    </row>
    <row r="571" spans="2:17" ht="15.75">
      <c r="B571" s="11" t="s">
        <v>97</v>
      </c>
      <c r="C571" s="6"/>
      <c r="D571" s="44">
        <v>1003</v>
      </c>
      <c r="E571" s="6"/>
      <c r="F571" s="6"/>
      <c r="G571" s="60" t="e">
        <f>G581+G590+G586+G588+G577+G597+G574+G579+G594+#REF!+G601+#REF!+G592+G599</f>
        <v>#REF!</v>
      </c>
      <c r="H571" s="3"/>
      <c r="I571" s="60">
        <f>I581+I590+I586+I588+I577+I597+I574+I579+I594+I598+I592+I603</f>
        <v>80755900</v>
      </c>
      <c r="J571" s="3"/>
      <c r="K571" s="60">
        <f>K581+K590+K586+K588+K577+K597+K574+K579+K594+K598+K592+K603</f>
        <v>80655900</v>
      </c>
      <c r="L571" s="133"/>
      <c r="M571" s="60">
        <f>M581+M590+M586+M588+M577+M597+M574+M579+M594+M598+M592+M603+M605</f>
        <v>76963067.2</v>
      </c>
      <c r="N571" s="133"/>
      <c r="O571" s="60">
        <f>O581+O590+O586+O588+O577+O597+O574+O579+O594+O598+O592+O603+O605</f>
        <v>76963067.2</v>
      </c>
      <c r="P571" s="133"/>
      <c r="Q571" s="60">
        <f>Q581+Q590+Q586+Q588+Q577+Q597+Q574+Q579+Q594+Q598+Q592+Q603+Q605+Q572+Q608+Q610</f>
        <v>80352975.60000001</v>
      </c>
    </row>
    <row r="572" spans="2:17" ht="49.5" customHeight="1">
      <c r="B572" s="163" t="s">
        <v>558</v>
      </c>
      <c r="C572" s="103" t="s">
        <v>200</v>
      </c>
      <c r="D572" s="103" t="s">
        <v>98</v>
      </c>
      <c r="E572" s="103" t="s">
        <v>554</v>
      </c>
      <c r="F572" s="103"/>
      <c r="G572" s="60"/>
      <c r="H572" s="3"/>
      <c r="I572" s="60"/>
      <c r="J572" s="3"/>
      <c r="K572" s="60"/>
      <c r="L572" s="133"/>
      <c r="M572" s="60"/>
      <c r="N572" s="133"/>
      <c r="O572" s="60"/>
      <c r="P572" s="133"/>
      <c r="Q572" s="60">
        <f>Q573</f>
        <v>1167700</v>
      </c>
    </row>
    <row r="573" spans="2:17" ht="33" customHeight="1">
      <c r="B573" s="96" t="s">
        <v>345</v>
      </c>
      <c r="C573" s="103" t="s">
        <v>200</v>
      </c>
      <c r="D573" s="103" t="s">
        <v>98</v>
      </c>
      <c r="E573" s="103" t="s">
        <v>554</v>
      </c>
      <c r="F573" s="103" t="s">
        <v>347</v>
      </c>
      <c r="G573" s="60"/>
      <c r="H573" s="3"/>
      <c r="I573" s="60"/>
      <c r="J573" s="3"/>
      <c r="K573" s="60"/>
      <c r="L573" s="133"/>
      <c r="M573" s="60"/>
      <c r="N573" s="133"/>
      <c r="O573" s="60"/>
      <c r="P573" s="133">
        <v>1167700</v>
      </c>
      <c r="Q573" s="60">
        <f>O573+P573</f>
        <v>1167700</v>
      </c>
    </row>
    <row r="574" spans="2:17" ht="15.75">
      <c r="B574" s="11" t="s">
        <v>212</v>
      </c>
      <c r="C574" s="6"/>
      <c r="D574" s="44" t="s">
        <v>98</v>
      </c>
      <c r="E574" s="6" t="s">
        <v>210</v>
      </c>
      <c r="F574" s="6"/>
      <c r="G574" s="60">
        <f>G575</f>
        <v>0</v>
      </c>
      <c r="H574" s="3"/>
      <c r="I574" s="60">
        <f>I575</f>
        <v>0</v>
      </c>
      <c r="J574" s="3"/>
      <c r="K574" s="60">
        <f>K575</f>
        <v>0</v>
      </c>
      <c r="L574" s="133"/>
      <c r="M574" s="60">
        <f>M575</f>
        <v>200000</v>
      </c>
      <c r="N574" s="133"/>
      <c r="O574" s="60">
        <f>O575</f>
        <v>200000</v>
      </c>
      <c r="P574" s="133"/>
      <c r="Q574" s="60">
        <f>Q575</f>
        <v>200000</v>
      </c>
    </row>
    <row r="575" spans="2:17" ht="16.5" customHeight="1">
      <c r="B575" s="11" t="s">
        <v>529</v>
      </c>
      <c r="C575" s="6"/>
      <c r="D575" s="44" t="s">
        <v>98</v>
      </c>
      <c r="E575" s="6" t="s">
        <v>308</v>
      </c>
      <c r="F575" s="6"/>
      <c r="G575" s="60">
        <f>G576</f>
        <v>0</v>
      </c>
      <c r="H575" s="3"/>
      <c r="I575" s="60">
        <f>I576</f>
        <v>0</v>
      </c>
      <c r="J575" s="3"/>
      <c r="K575" s="60">
        <f>K576</f>
        <v>0</v>
      </c>
      <c r="L575" s="133"/>
      <c r="M575" s="60">
        <f>M576</f>
        <v>200000</v>
      </c>
      <c r="N575" s="133"/>
      <c r="O575" s="60">
        <f>O576</f>
        <v>200000</v>
      </c>
      <c r="P575" s="133"/>
      <c r="Q575" s="60">
        <f>Q576</f>
        <v>200000</v>
      </c>
    </row>
    <row r="576" spans="2:17" ht="31.5">
      <c r="B576" s="11" t="s">
        <v>530</v>
      </c>
      <c r="C576" s="6"/>
      <c r="D576" s="44" t="s">
        <v>98</v>
      </c>
      <c r="E576" s="6" t="s">
        <v>308</v>
      </c>
      <c r="F576" s="6" t="s">
        <v>528</v>
      </c>
      <c r="G576" s="60">
        <v>0</v>
      </c>
      <c r="H576" s="3"/>
      <c r="I576" s="60">
        <f>G576+H576</f>
        <v>0</v>
      </c>
      <c r="J576" s="3"/>
      <c r="K576" s="60">
        <f>I576+J576</f>
        <v>0</v>
      </c>
      <c r="L576" s="133">
        <v>200000</v>
      </c>
      <c r="M576" s="60">
        <f>K576+L576</f>
        <v>200000</v>
      </c>
      <c r="N576" s="133">
        <v>0</v>
      </c>
      <c r="O576" s="60">
        <f>M576+N576</f>
        <v>200000</v>
      </c>
      <c r="P576" s="133"/>
      <c r="Q576" s="60">
        <f>O576+P576</f>
        <v>200000</v>
      </c>
    </row>
    <row r="577" spans="2:17" ht="1.5" customHeight="1" hidden="1">
      <c r="B577" s="11" t="s">
        <v>199</v>
      </c>
      <c r="C577" s="6" t="s">
        <v>200</v>
      </c>
      <c r="D577" s="6" t="s">
        <v>98</v>
      </c>
      <c r="E577" s="6" t="s">
        <v>202</v>
      </c>
      <c r="F577" s="6"/>
      <c r="G577" s="60">
        <f>G578</f>
        <v>0</v>
      </c>
      <c r="H577" s="52"/>
      <c r="I577" s="60">
        <f>I578</f>
        <v>0</v>
      </c>
      <c r="J577" s="52"/>
      <c r="K577" s="60">
        <f>K578</f>
        <v>0</v>
      </c>
      <c r="L577" s="138"/>
      <c r="M577" s="60">
        <f>M578</f>
        <v>0</v>
      </c>
      <c r="N577" s="138"/>
      <c r="O577" s="60">
        <f>O578</f>
        <v>0</v>
      </c>
      <c r="P577" s="138"/>
      <c r="Q577" s="60">
        <f>Q578</f>
        <v>0</v>
      </c>
    </row>
    <row r="578" spans="2:17" ht="18" customHeight="1" hidden="1">
      <c r="B578" s="31" t="s">
        <v>345</v>
      </c>
      <c r="C578" s="6" t="s">
        <v>200</v>
      </c>
      <c r="D578" s="6" t="s">
        <v>98</v>
      </c>
      <c r="E578" s="6" t="s">
        <v>202</v>
      </c>
      <c r="F578" s="6" t="s">
        <v>347</v>
      </c>
      <c r="G578" s="60">
        <v>0</v>
      </c>
      <c r="H578" s="111">
        <v>0</v>
      </c>
      <c r="I578" s="60">
        <f>G578+H578</f>
        <v>0</v>
      </c>
      <c r="J578" s="111">
        <v>0</v>
      </c>
      <c r="K578" s="60">
        <f>I578+J578</f>
        <v>0</v>
      </c>
      <c r="L578" s="140"/>
      <c r="M578" s="60">
        <f>K578+L578</f>
        <v>0</v>
      </c>
      <c r="N578" s="140"/>
      <c r="O578" s="60">
        <f>M578+N578</f>
        <v>0</v>
      </c>
      <c r="P578" s="140"/>
      <c r="Q578" s="60">
        <f>O578+P578</f>
        <v>0</v>
      </c>
    </row>
    <row r="579" spans="2:17" ht="25.5" customHeight="1" hidden="1">
      <c r="B579" s="11" t="s">
        <v>199</v>
      </c>
      <c r="C579" s="6"/>
      <c r="D579" s="6" t="s">
        <v>98</v>
      </c>
      <c r="E579" s="6" t="s">
        <v>215</v>
      </c>
      <c r="F579" s="6"/>
      <c r="G579" s="60">
        <f>G580</f>
        <v>0</v>
      </c>
      <c r="H579" s="52"/>
      <c r="I579" s="60">
        <f>I580</f>
        <v>0</v>
      </c>
      <c r="J579" s="52"/>
      <c r="K579" s="60">
        <f>K580</f>
        <v>0</v>
      </c>
      <c r="L579" s="138"/>
      <c r="M579" s="60">
        <f>M580</f>
        <v>0</v>
      </c>
      <c r="N579" s="138"/>
      <c r="O579" s="60">
        <f>O580</f>
        <v>0</v>
      </c>
      <c r="P579" s="138"/>
      <c r="Q579" s="60">
        <f>Q580</f>
        <v>0</v>
      </c>
    </row>
    <row r="580" spans="2:17" ht="25.5" customHeight="1" hidden="1">
      <c r="B580" s="31" t="s">
        <v>345</v>
      </c>
      <c r="C580" s="6"/>
      <c r="D580" s="6" t="s">
        <v>98</v>
      </c>
      <c r="E580" s="6" t="s">
        <v>215</v>
      </c>
      <c r="F580" s="6" t="s">
        <v>347</v>
      </c>
      <c r="G580" s="60">
        <v>0</v>
      </c>
      <c r="H580" s="52">
        <v>0</v>
      </c>
      <c r="I580" s="60">
        <f>G580+H580</f>
        <v>0</v>
      </c>
      <c r="J580" s="52">
        <v>0</v>
      </c>
      <c r="K580" s="60">
        <f>I580+J580</f>
        <v>0</v>
      </c>
      <c r="L580" s="138"/>
      <c r="M580" s="60">
        <f>K580+L580</f>
        <v>0</v>
      </c>
      <c r="N580" s="138"/>
      <c r="O580" s="60">
        <f>M580+N580</f>
        <v>0</v>
      </c>
      <c r="P580" s="138"/>
      <c r="Q580" s="60">
        <f>O580+P580</f>
        <v>0</v>
      </c>
    </row>
    <row r="581" spans="2:17" ht="15.75">
      <c r="B581" s="11" t="s">
        <v>201</v>
      </c>
      <c r="C581" s="6"/>
      <c r="D581" s="44">
        <v>1003</v>
      </c>
      <c r="E581" s="6">
        <v>5050000</v>
      </c>
      <c r="F581" s="6"/>
      <c r="G581" s="60">
        <f>G584+G582</f>
        <v>0</v>
      </c>
      <c r="H581" s="3"/>
      <c r="I581" s="60">
        <f>I584+I582</f>
        <v>15685000</v>
      </c>
      <c r="J581" s="3"/>
      <c r="K581" s="60">
        <f>K584+K582</f>
        <v>15685000</v>
      </c>
      <c r="L581" s="133"/>
      <c r="M581" s="60">
        <f>M584+M582</f>
        <v>15373870.2</v>
      </c>
      <c r="N581" s="133"/>
      <c r="O581" s="60">
        <f>O584+O582</f>
        <v>15373870.2</v>
      </c>
      <c r="P581" s="133"/>
      <c r="Q581" s="60">
        <f>Q584+Q582</f>
        <v>15373870.2</v>
      </c>
    </row>
    <row r="582" spans="2:17" ht="36" customHeight="1">
      <c r="B582" s="32" t="s">
        <v>204</v>
      </c>
      <c r="C582" s="8" t="s">
        <v>200</v>
      </c>
      <c r="D582" s="8" t="s">
        <v>98</v>
      </c>
      <c r="E582" s="8" t="s">
        <v>205</v>
      </c>
      <c r="F582" s="8"/>
      <c r="G582" s="71">
        <f>G583</f>
        <v>0</v>
      </c>
      <c r="H582" s="52"/>
      <c r="I582" s="71">
        <f>I583</f>
        <v>11416000</v>
      </c>
      <c r="J582" s="52"/>
      <c r="K582" s="71">
        <f>K583</f>
        <v>11416000</v>
      </c>
      <c r="L582" s="138"/>
      <c r="M582" s="71">
        <f>M583</f>
        <v>11416000</v>
      </c>
      <c r="N582" s="138"/>
      <c r="O582" s="71">
        <f>O583</f>
        <v>11416000</v>
      </c>
      <c r="P582" s="138"/>
      <c r="Q582" s="71">
        <f>Q583</f>
        <v>11416000</v>
      </c>
    </row>
    <row r="583" spans="2:17" ht="35.25" customHeight="1">
      <c r="B583" s="31" t="s">
        <v>345</v>
      </c>
      <c r="C583" s="8" t="s">
        <v>200</v>
      </c>
      <c r="D583" s="8" t="s">
        <v>98</v>
      </c>
      <c r="E583" s="8" t="s">
        <v>205</v>
      </c>
      <c r="F583" s="8" t="s">
        <v>347</v>
      </c>
      <c r="G583" s="71">
        <v>0</v>
      </c>
      <c r="H583" s="52">
        <v>11416000</v>
      </c>
      <c r="I583" s="71">
        <f>G583+H583</f>
        <v>11416000</v>
      </c>
      <c r="J583" s="52">
        <v>0</v>
      </c>
      <c r="K583" s="71">
        <f>I583+J583</f>
        <v>11416000</v>
      </c>
      <c r="L583" s="138"/>
      <c r="M583" s="71">
        <f>K583+L583</f>
        <v>11416000</v>
      </c>
      <c r="N583" s="138"/>
      <c r="O583" s="71">
        <f>M583+N583</f>
        <v>11416000</v>
      </c>
      <c r="P583" s="138"/>
      <c r="Q583" s="71">
        <f>O583+P583</f>
        <v>11416000</v>
      </c>
    </row>
    <row r="584" spans="2:17" ht="47.25">
      <c r="B584" s="11" t="s">
        <v>185</v>
      </c>
      <c r="C584" s="6"/>
      <c r="D584" s="44">
        <v>1003</v>
      </c>
      <c r="E584" s="6" t="s">
        <v>373</v>
      </c>
      <c r="F584" s="6"/>
      <c r="G584" s="60">
        <f>G585</f>
        <v>0</v>
      </c>
      <c r="H584" s="3"/>
      <c r="I584" s="60">
        <f>I585</f>
        <v>4269000</v>
      </c>
      <c r="J584" s="3"/>
      <c r="K584" s="60">
        <f>K585</f>
        <v>4269000</v>
      </c>
      <c r="L584" s="133"/>
      <c r="M584" s="60">
        <f>M585</f>
        <v>3957870.2</v>
      </c>
      <c r="N584" s="133"/>
      <c r="O584" s="60">
        <f>O585</f>
        <v>3957870.2</v>
      </c>
      <c r="P584" s="133"/>
      <c r="Q584" s="60">
        <f>Q585</f>
        <v>3957870.2</v>
      </c>
    </row>
    <row r="585" spans="2:17" ht="31.5">
      <c r="B585" s="54" t="s">
        <v>366</v>
      </c>
      <c r="C585" s="6"/>
      <c r="D585" s="44" t="s">
        <v>98</v>
      </c>
      <c r="E585" s="6" t="s">
        <v>373</v>
      </c>
      <c r="F585" s="6" t="s">
        <v>365</v>
      </c>
      <c r="G585" s="60">
        <v>0</v>
      </c>
      <c r="H585" s="3">
        <v>4269000</v>
      </c>
      <c r="I585" s="60">
        <f>G585+H585</f>
        <v>4269000</v>
      </c>
      <c r="J585" s="3">
        <v>0</v>
      </c>
      <c r="K585" s="60">
        <f>I585+J585</f>
        <v>4269000</v>
      </c>
      <c r="L585" s="133">
        <f>-330820.7+19690.9</f>
        <v>-311129.8</v>
      </c>
      <c r="M585" s="60">
        <f>K585+L585</f>
        <v>3957870.2</v>
      </c>
      <c r="N585" s="133">
        <v>0</v>
      </c>
      <c r="O585" s="60">
        <f>M585+N585</f>
        <v>3957870.2</v>
      </c>
      <c r="P585" s="133"/>
      <c r="Q585" s="60">
        <f>O585+P585</f>
        <v>3957870.2</v>
      </c>
    </row>
    <row r="586" spans="2:17" ht="33" customHeight="1" hidden="1">
      <c r="B586" s="104" t="s">
        <v>99</v>
      </c>
      <c r="C586" s="6"/>
      <c r="D586" s="44" t="s">
        <v>98</v>
      </c>
      <c r="E586" s="6" t="s">
        <v>198</v>
      </c>
      <c r="F586" s="6"/>
      <c r="G586" s="60">
        <f>G587</f>
        <v>0</v>
      </c>
      <c r="H586" s="3"/>
      <c r="I586" s="60">
        <f>I587</f>
        <v>0</v>
      </c>
      <c r="J586" s="3"/>
      <c r="K586" s="60">
        <f>K587</f>
        <v>0</v>
      </c>
      <c r="L586" s="133"/>
      <c r="M586" s="60">
        <f>M587</f>
        <v>0</v>
      </c>
      <c r="N586" s="133"/>
      <c r="O586" s="60">
        <f>O587</f>
        <v>0</v>
      </c>
      <c r="P586" s="133"/>
      <c r="Q586" s="60">
        <f>Q587</f>
        <v>0</v>
      </c>
    </row>
    <row r="587" spans="2:17" ht="30" customHeight="1" hidden="1">
      <c r="B587" s="104" t="s">
        <v>113</v>
      </c>
      <c r="C587" s="6"/>
      <c r="D587" s="44" t="s">
        <v>98</v>
      </c>
      <c r="E587" s="6" t="s">
        <v>209</v>
      </c>
      <c r="F587" s="103" t="s">
        <v>114</v>
      </c>
      <c r="G587" s="60">
        <v>0</v>
      </c>
      <c r="H587" s="3"/>
      <c r="I587" s="60">
        <f>H587+G587</f>
        <v>0</v>
      </c>
      <c r="J587" s="3"/>
      <c r="K587" s="60">
        <f>J587+I587</f>
        <v>0</v>
      </c>
      <c r="L587" s="133"/>
      <c r="M587" s="60">
        <f>L587+K587</f>
        <v>0</v>
      </c>
      <c r="N587" s="133"/>
      <c r="O587" s="60">
        <f>N587+M587</f>
        <v>0</v>
      </c>
      <c r="P587" s="133"/>
      <c r="Q587" s="60">
        <f>P587+O587</f>
        <v>0</v>
      </c>
    </row>
    <row r="588" spans="2:17" ht="63" hidden="1">
      <c r="B588" s="12" t="s">
        <v>164</v>
      </c>
      <c r="C588" s="6" t="s">
        <v>200</v>
      </c>
      <c r="D588" s="6" t="s">
        <v>98</v>
      </c>
      <c r="E588" s="6" t="s">
        <v>52</v>
      </c>
      <c r="F588" s="6"/>
      <c r="G588" s="60">
        <f>G589</f>
        <v>0</v>
      </c>
      <c r="H588" s="52"/>
      <c r="I588" s="60">
        <f>I589</f>
        <v>0</v>
      </c>
      <c r="J588" s="52"/>
      <c r="K588" s="60">
        <f>K589</f>
        <v>0</v>
      </c>
      <c r="L588" s="138"/>
      <c r="M588" s="60">
        <f>M589</f>
        <v>0</v>
      </c>
      <c r="N588" s="138"/>
      <c r="O588" s="60">
        <f>O589</f>
        <v>0</v>
      </c>
      <c r="P588" s="138"/>
      <c r="Q588" s="60">
        <f>Q589</f>
        <v>0</v>
      </c>
    </row>
    <row r="589" spans="2:17" ht="31.5" customHeight="1" hidden="1">
      <c r="B589" s="32" t="s">
        <v>208</v>
      </c>
      <c r="C589" s="6" t="s">
        <v>200</v>
      </c>
      <c r="D589" s="6" t="s">
        <v>98</v>
      </c>
      <c r="E589" s="6" t="s">
        <v>52</v>
      </c>
      <c r="F589" s="6" t="s">
        <v>207</v>
      </c>
      <c r="G589" s="60">
        <v>0</v>
      </c>
      <c r="H589" s="52"/>
      <c r="I589" s="60">
        <f>G589+H589</f>
        <v>0</v>
      </c>
      <c r="J589" s="52"/>
      <c r="K589" s="60">
        <f>I589+J589</f>
        <v>0</v>
      </c>
      <c r="L589" s="138"/>
      <c r="M589" s="60">
        <f>K589+L589</f>
        <v>0</v>
      </c>
      <c r="N589" s="138"/>
      <c r="O589" s="60">
        <f>M589+N589</f>
        <v>0</v>
      </c>
      <c r="P589" s="138"/>
      <c r="Q589" s="60">
        <f>O589+P589</f>
        <v>0</v>
      </c>
    </row>
    <row r="590" spans="2:17" ht="33" customHeight="1" hidden="1">
      <c r="B590" s="12" t="s">
        <v>99</v>
      </c>
      <c r="C590" s="2"/>
      <c r="D590" s="44">
        <v>1003</v>
      </c>
      <c r="E590" s="2">
        <v>5140000</v>
      </c>
      <c r="F590" s="2"/>
      <c r="G590" s="60">
        <f>G591</f>
        <v>0</v>
      </c>
      <c r="H590" s="3"/>
      <c r="I590" s="60">
        <f>I591</f>
        <v>0</v>
      </c>
      <c r="J590" s="3"/>
      <c r="K590" s="60">
        <f>K591</f>
        <v>0</v>
      </c>
      <c r="L590" s="133"/>
      <c r="M590" s="60">
        <f>M591</f>
        <v>0</v>
      </c>
      <c r="N590" s="133"/>
      <c r="O590" s="60">
        <f>O591</f>
        <v>0</v>
      </c>
      <c r="P590" s="133"/>
      <c r="Q590" s="60">
        <f>Q591</f>
        <v>0</v>
      </c>
    </row>
    <row r="591" spans="2:17" ht="18.75" customHeight="1" hidden="1">
      <c r="B591" s="51" t="s">
        <v>334</v>
      </c>
      <c r="C591" s="6"/>
      <c r="D591" s="44" t="s">
        <v>98</v>
      </c>
      <c r="E591" s="6" t="s">
        <v>209</v>
      </c>
      <c r="F591" s="6" t="s">
        <v>335</v>
      </c>
      <c r="G591" s="60">
        <v>0</v>
      </c>
      <c r="H591" s="3"/>
      <c r="I591" s="60">
        <f>G591+H591</f>
        <v>0</v>
      </c>
      <c r="J591" s="3"/>
      <c r="K591" s="60">
        <f>I591+J591</f>
        <v>0</v>
      </c>
      <c r="L591" s="133"/>
      <c r="M591" s="60">
        <f>K591+L591</f>
        <v>0</v>
      </c>
      <c r="N591" s="133"/>
      <c r="O591" s="60">
        <f>M591+N591</f>
        <v>0</v>
      </c>
      <c r="P591" s="133"/>
      <c r="Q591" s="60">
        <f>O591+P591</f>
        <v>0</v>
      </c>
    </row>
    <row r="592" spans="2:17" ht="65.25" customHeight="1" hidden="1">
      <c r="B592" s="12" t="s">
        <v>164</v>
      </c>
      <c r="C592" s="6"/>
      <c r="D592" s="44" t="s">
        <v>98</v>
      </c>
      <c r="E592" s="6" t="s">
        <v>294</v>
      </c>
      <c r="F592" s="6"/>
      <c r="G592" s="60">
        <f>G593</f>
        <v>0</v>
      </c>
      <c r="H592" s="3"/>
      <c r="I592" s="60">
        <f>I593</f>
        <v>0</v>
      </c>
      <c r="J592" s="3"/>
      <c r="K592" s="60">
        <f>K593</f>
        <v>0</v>
      </c>
      <c r="L592" s="133"/>
      <c r="M592" s="60">
        <f>M593</f>
        <v>0</v>
      </c>
      <c r="N592" s="133"/>
      <c r="O592" s="60">
        <f>O593</f>
        <v>0</v>
      </c>
      <c r="P592" s="133"/>
      <c r="Q592" s="60">
        <f>Q593</f>
        <v>0</v>
      </c>
    </row>
    <row r="593" spans="2:17" ht="37.5" customHeight="1" hidden="1">
      <c r="B593" s="32" t="s">
        <v>345</v>
      </c>
      <c r="C593" s="2"/>
      <c r="D593" s="44" t="s">
        <v>98</v>
      </c>
      <c r="E593" s="2" t="s">
        <v>294</v>
      </c>
      <c r="F593" s="2" t="s">
        <v>347</v>
      </c>
      <c r="G593" s="60">
        <v>0</v>
      </c>
      <c r="H593" s="110">
        <v>0</v>
      </c>
      <c r="I593" s="60">
        <f>G593+H593</f>
        <v>0</v>
      </c>
      <c r="J593" s="110">
        <v>0</v>
      </c>
      <c r="K593" s="60">
        <f>I593+J593</f>
        <v>0</v>
      </c>
      <c r="L593" s="136"/>
      <c r="M593" s="60">
        <f>K593+L593</f>
        <v>0</v>
      </c>
      <c r="N593" s="136"/>
      <c r="O593" s="60">
        <f>M593+N593</f>
        <v>0</v>
      </c>
      <c r="P593" s="136"/>
      <c r="Q593" s="60">
        <f>O593+P593</f>
        <v>0</v>
      </c>
    </row>
    <row r="594" spans="2:17" ht="44.25" customHeight="1" hidden="1">
      <c r="B594" s="12" t="s">
        <v>182</v>
      </c>
      <c r="C594" s="8"/>
      <c r="D594" s="46" t="s">
        <v>98</v>
      </c>
      <c r="E594" s="8" t="s">
        <v>295</v>
      </c>
      <c r="F594" s="29"/>
      <c r="G594" s="60">
        <f>G595</f>
        <v>0</v>
      </c>
      <c r="H594" s="3"/>
      <c r="I594" s="60">
        <f>I595</f>
        <v>0</v>
      </c>
      <c r="J594" s="3"/>
      <c r="K594" s="60">
        <f>K595</f>
        <v>0</v>
      </c>
      <c r="L594" s="133"/>
      <c r="M594" s="60">
        <f>M595</f>
        <v>0</v>
      </c>
      <c r="N594" s="133"/>
      <c r="O594" s="60">
        <f>O595</f>
        <v>0</v>
      </c>
      <c r="P594" s="133"/>
      <c r="Q594" s="60">
        <f>Q595</f>
        <v>0</v>
      </c>
    </row>
    <row r="595" spans="2:17" ht="34.5" customHeight="1" hidden="1">
      <c r="B595" s="32" t="s">
        <v>345</v>
      </c>
      <c r="C595" s="8"/>
      <c r="D595" s="46" t="s">
        <v>98</v>
      </c>
      <c r="E595" s="8" t="s">
        <v>295</v>
      </c>
      <c r="F595" s="55" t="s">
        <v>347</v>
      </c>
      <c r="G595" s="60">
        <v>0</v>
      </c>
      <c r="H595" s="3">
        <v>0</v>
      </c>
      <c r="I595" s="60">
        <f>G595+H595</f>
        <v>0</v>
      </c>
      <c r="J595" s="3">
        <v>0</v>
      </c>
      <c r="K595" s="60">
        <f>I595+J595</f>
        <v>0</v>
      </c>
      <c r="L595" s="133"/>
      <c r="M595" s="60">
        <f>K595+L595</f>
        <v>0</v>
      </c>
      <c r="N595" s="133"/>
      <c r="O595" s="60">
        <f>M595+N595</f>
        <v>0</v>
      </c>
      <c r="P595" s="133"/>
      <c r="Q595" s="60">
        <f>O595+P595</f>
        <v>0</v>
      </c>
    </row>
    <row r="596" spans="2:17" ht="78.75">
      <c r="B596" s="51" t="s">
        <v>206</v>
      </c>
      <c r="C596" s="2"/>
      <c r="D596" s="44" t="s">
        <v>98</v>
      </c>
      <c r="E596" s="2" t="s">
        <v>374</v>
      </c>
      <c r="F596" s="2"/>
      <c r="G596" s="73">
        <f>G597</f>
        <v>0</v>
      </c>
      <c r="H596" s="3"/>
      <c r="I596" s="73">
        <f>I597</f>
        <v>64279000</v>
      </c>
      <c r="J596" s="3"/>
      <c r="K596" s="73">
        <f>K597</f>
        <v>64279000</v>
      </c>
      <c r="L596" s="133"/>
      <c r="M596" s="73">
        <f>M597</f>
        <v>60092497</v>
      </c>
      <c r="N596" s="133"/>
      <c r="O596" s="73">
        <f>O597</f>
        <v>60092497</v>
      </c>
      <c r="P596" s="133"/>
      <c r="Q596" s="73">
        <f>Q597</f>
        <v>60092497</v>
      </c>
    </row>
    <row r="597" spans="2:17" ht="32.25" customHeight="1">
      <c r="B597" s="54" t="s">
        <v>366</v>
      </c>
      <c r="C597" s="6" t="s">
        <v>200</v>
      </c>
      <c r="D597" s="6" t="s">
        <v>98</v>
      </c>
      <c r="E597" s="6" t="s">
        <v>374</v>
      </c>
      <c r="F597" s="6" t="s">
        <v>365</v>
      </c>
      <c r="G597" s="70">
        <v>0</v>
      </c>
      <c r="H597" s="52">
        <v>64279000</v>
      </c>
      <c r="I597" s="70">
        <f>G597+H597</f>
        <v>64279000</v>
      </c>
      <c r="J597" s="52">
        <v>0</v>
      </c>
      <c r="K597" s="70">
        <f>I597+J597</f>
        <v>64279000</v>
      </c>
      <c r="L597" s="138">
        <v>-4186503</v>
      </c>
      <c r="M597" s="70">
        <f>K597+L597</f>
        <v>60092497</v>
      </c>
      <c r="N597" s="138">
        <v>0</v>
      </c>
      <c r="O597" s="70">
        <f>M597+N597</f>
        <v>60092497</v>
      </c>
      <c r="P597" s="138"/>
      <c r="Q597" s="70">
        <f>O597+P597</f>
        <v>60092497</v>
      </c>
    </row>
    <row r="598" spans="2:17" ht="15.75">
      <c r="B598" s="12" t="s">
        <v>313</v>
      </c>
      <c r="C598" s="6"/>
      <c r="D598" s="103" t="s">
        <v>98</v>
      </c>
      <c r="E598" s="103" t="s">
        <v>104</v>
      </c>
      <c r="F598" s="6"/>
      <c r="G598" s="70"/>
      <c r="H598" s="52"/>
      <c r="I598" s="70">
        <f>I599+I601</f>
        <v>691900</v>
      </c>
      <c r="J598" s="52"/>
      <c r="K598" s="70">
        <f>K599+K601</f>
        <v>691900</v>
      </c>
      <c r="L598" s="138"/>
      <c r="M598" s="70">
        <f>M599+M601</f>
        <v>691900</v>
      </c>
      <c r="N598" s="138"/>
      <c r="O598" s="70">
        <f>O599+O601</f>
        <v>691900</v>
      </c>
      <c r="P598" s="138"/>
      <c r="Q598" s="70">
        <f>Q599+Q601</f>
        <v>699108.4</v>
      </c>
    </row>
    <row r="599" spans="2:17" ht="81.75" customHeight="1">
      <c r="B599" s="116" t="s">
        <v>475</v>
      </c>
      <c r="C599" s="6"/>
      <c r="D599" s="44" t="s">
        <v>98</v>
      </c>
      <c r="E599" s="6" t="s">
        <v>265</v>
      </c>
      <c r="F599" s="6"/>
      <c r="G599" s="70">
        <f>G600</f>
        <v>0</v>
      </c>
      <c r="H599" s="3"/>
      <c r="I599" s="70">
        <f>I600</f>
        <v>221500</v>
      </c>
      <c r="J599" s="3"/>
      <c r="K599" s="70">
        <f>K600</f>
        <v>221500</v>
      </c>
      <c r="L599" s="133"/>
      <c r="M599" s="70">
        <f>M600</f>
        <v>221500</v>
      </c>
      <c r="N599" s="133"/>
      <c r="O599" s="70">
        <f>O600</f>
        <v>221500</v>
      </c>
      <c r="P599" s="133"/>
      <c r="Q599" s="70">
        <f>Q600</f>
        <v>228708.4</v>
      </c>
    </row>
    <row r="600" spans="2:17" ht="35.25" customHeight="1">
      <c r="B600" s="32" t="s">
        <v>345</v>
      </c>
      <c r="C600" s="6"/>
      <c r="D600" s="44" t="s">
        <v>98</v>
      </c>
      <c r="E600" s="6" t="s">
        <v>265</v>
      </c>
      <c r="F600" s="6" t="s">
        <v>347</v>
      </c>
      <c r="G600" s="70">
        <v>0</v>
      </c>
      <c r="H600" s="112">
        <v>221500</v>
      </c>
      <c r="I600" s="70">
        <f>G600+H600</f>
        <v>221500</v>
      </c>
      <c r="J600" s="112">
        <v>0</v>
      </c>
      <c r="K600" s="70">
        <f>I600+J600</f>
        <v>221500</v>
      </c>
      <c r="L600" s="134"/>
      <c r="M600" s="70">
        <f>K600+L600</f>
        <v>221500</v>
      </c>
      <c r="N600" s="134"/>
      <c r="O600" s="70">
        <f>M600+N600</f>
        <v>221500</v>
      </c>
      <c r="P600" s="134">
        <v>7208.4</v>
      </c>
      <c r="Q600" s="70">
        <f>O600+P600</f>
        <v>228708.4</v>
      </c>
    </row>
    <row r="601" spans="2:17" ht="47.25" customHeight="1">
      <c r="B601" s="32" t="s">
        <v>297</v>
      </c>
      <c r="C601" s="44" t="s">
        <v>200</v>
      </c>
      <c r="D601" s="44" t="s">
        <v>98</v>
      </c>
      <c r="E601" s="44" t="s">
        <v>266</v>
      </c>
      <c r="F601" s="44"/>
      <c r="G601" s="60">
        <f>G602</f>
        <v>0</v>
      </c>
      <c r="H601" s="3"/>
      <c r="I601" s="60">
        <f>I602</f>
        <v>470400</v>
      </c>
      <c r="J601" s="3"/>
      <c r="K601" s="60">
        <f>K602</f>
        <v>470400</v>
      </c>
      <c r="L601" s="133"/>
      <c r="M601" s="60">
        <f>M602</f>
        <v>470400</v>
      </c>
      <c r="N601" s="133"/>
      <c r="O601" s="60">
        <f>O602</f>
        <v>470400</v>
      </c>
      <c r="P601" s="133"/>
      <c r="Q601" s="60">
        <f>Q602</f>
        <v>470400</v>
      </c>
    </row>
    <row r="602" spans="2:17" ht="17.25" customHeight="1">
      <c r="B602" s="114" t="s">
        <v>368</v>
      </c>
      <c r="C602" s="44" t="s">
        <v>200</v>
      </c>
      <c r="D602" s="44" t="s">
        <v>98</v>
      </c>
      <c r="E602" s="44" t="s">
        <v>266</v>
      </c>
      <c r="F602" s="44" t="s">
        <v>367</v>
      </c>
      <c r="G602" s="60">
        <v>0</v>
      </c>
      <c r="H602" s="3">
        <v>470400</v>
      </c>
      <c r="I602" s="60">
        <f>G602+H602</f>
        <v>470400</v>
      </c>
      <c r="J602" s="3">
        <v>0</v>
      </c>
      <c r="K602" s="60">
        <f>I602+J602</f>
        <v>470400</v>
      </c>
      <c r="L602" s="133"/>
      <c r="M602" s="60">
        <f>K602+L602</f>
        <v>470400</v>
      </c>
      <c r="N602" s="133"/>
      <c r="O602" s="60">
        <f>M602+N602</f>
        <v>470400</v>
      </c>
      <c r="P602" s="133"/>
      <c r="Q602" s="60">
        <f>O602+P602</f>
        <v>470400</v>
      </c>
    </row>
    <row r="603" spans="2:17" ht="17.25" customHeight="1">
      <c r="B603" s="109" t="s">
        <v>577</v>
      </c>
      <c r="C603" s="6"/>
      <c r="D603" s="101" t="s">
        <v>98</v>
      </c>
      <c r="E603" s="103" t="s">
        <v>485</v>
      </c>
      <c r="F603" s="6"/>
      <c r="G603" s="73"/>
      <c r="H603" s="3"/>
      <c r="I603" s="73">
        <f>I604</f>
        <v>100000</v>
      </c>
      <c r="J603" s="3"/>
      <c r="K603" s="73">
        <f>K604</f>
        <v>0</v>
      </c>
      <c r="L603" s="133"/>
      <c r="M603" s="73">
        <f>M604</f>
        <v>0</v>
      </c>
      <c r="N603" s="133"/>
      <c r="O603" s="73">
        <f>O604</f>
        <v>0</v>
      </c>
      <c r="P603" s="133"/>
      <c r="Q603" s="73">
        <f>Q604</f>
        <v>0</v>
      </c>
    </row>
    <row r="604" spans="2:17" ht="15.75">
      <c r="B604" s="31" t="s">
        <v>334</v>
      </c>
      <c r="C604" s="6"/>
      <c r="D604" s="101" t="s">
        <v>98</v>
      </c>
      <c r="E604" s="103" t="s">
        <v>485</v>
      </c>
      <c r="F604" s="6" t="s">
        <v>335</v>
      </c>
      <c r="G604" s="73"/>
      <c r="H604" s="3">
        <v>100000</v>
      </c>
      <c r="I604" s="60">
        <f>G604+H604</f>
        <v>100000</v>
      </c>
      <c r="J604" s="3">
        <v>-100000</v>
      </c>
      <c r="K604" s="60">
        <f>I604+J604</f>
        <v>0</v>
      </c>
      <c r="L604" s="133"/>
      <c r="M604" s="60">
        <f>K604+L604</f>
        <v>0</v>
      </c>
      <c r="N604" s="133"/>
      <c r="O604" s="60">
        <f>M604+N604</f>
        <v>0</v>
      </c>
      <c r="P604" s="133"/>
      <c r="Q604" s="60">
        <f>O604+P604</f>
        <v>0</v>
      </c>
    </row>
    <row r="605" spans="2:17" ht="36" customHeight="1">
      <c r="B605" s="96" t="s">
        <v>505</v>
      </c>
      <c r="C605" s="6"/>
      <c r="D605" s="101" t="s">
        <v>98</v>
      </c>
      <c r="E605" s="103" t="s">
        <v>504</v>
      </c>
      <c r="F605" s="6"/>
      <c r="G605" s="73"/>
      <c r="H605" s="3"/>
      <c r="I605" s="73"/>
      <c r="J605" s="3"/>
      <c r="K605" s="73"/>
      <c r="L605" s="133"/>
      <c r="M605" s="73">
        <f>M606</f>
        <v>604800</v>
      </c>
      <c r="N605" s="133"/>
      <c r="O605" s="73">
        <f>O606</f>
        <v>604800</v>
      </c>
      <c r="P605" s="133"/>
      <c r="Q605" s="73">
        <f>Q606</f>
        <v>604800</v>
      </c>
    </row>
    <row r="606" spans="2:17" ht="33.75" customHeight="1">
      <c r="B606" s="158" t="s">
        <v>502</v>
      </c>
      <c r="C606" s="6"/>
      <c r="D606" s="101" t="s">
        <v>98</v>
      </c>
      <c r="E606" s="103" t="s">
        <v>503</v>
      </c>
      <c r="F606" s="6"/>
      <c r="G606" s="73"/>
      <c r="H606" s="3"/>
      <c r="I606" s="73"/>
      <c r="J606" s="3"/>
      <c r="K606" s="73"/>
      <c r="L606" s="133"/>
      <c r="M606" s="73">
        <f>M607</f>
        <v>604800</v>
      </c>
      <c r="N606" s="133"/>
      <c r="O606" s="73">
        <f>O607</f>
        <v>604800</v>
      </c>
      <c r="P606" s="133"/>
      <c r="Q606" s="73">
        <f>Q607</f>
        <v>604800</v>
      </c>
    </row>
    <row r="607" spans="2:17" ht="15.75">
      <c r="B607" s="31" t="s">
        <v>368</v>
      </c>
      <c r="C607" s="6"/>
      <c r="D607" s="101" t="s">
        <v>98</v>
      </c>
      <c r="E607" s="103" t="s">
        <v>503</v>
      </c>
      <c r="F607" s="103" t="s">
        <v>367</v>
      </c>
      <c r="G607" s="73"/>
      <c r="H607" s="3"/>
      <c r="I607" s="73"/>
      <c r="J607" s="3"/>
      <c r="K607" s="73"/>
      <c r="L607" s="133">
        <v>604800</v>
      </c>
      <c r="M607" s="73">
        <f>L607+K607</f>
        <v>604800</v>
      </c>
      <c r="N607" s="133">
        <v>0</v>
      </c>
      <c r="O607" s="73">
        <f>N607+M607</f>
        <v>604800</v>
      </c>
      <c r="P607" s="133"/>
      <c r="Q607" s="73">
        <f>P607+O607</f>
        <v>604800</v>
      </c>
    </row>
    <row r="608" spans="2:17" ht="63">
      <c r="B608" s="109" t="s">
        <v>164</v>
      </c>
      <c r="C608" s="103" t="s">
        <v>200</v>
      </c>
      <c r="D608" s="101" t="s">
        <v>98</v>
      </c>
      <c r="E608" s="103" t="s">
        <v>294</v>
      </c>
      <c r="F608" s="103"/>
      <c r="G608" s="73"/>
      <c r="H608" s="3"/>
      <c r="I608" s="73"/>
      <c r="J608" s="3"/>
      <c r="K608" s="73"/>
      <c r="L608" s="133"/>
      <c r="M608" s="73"/>
      <c r="N608" s="133"/>
      <c r="O608" s="73"/>
      <c r="P608" s="133"/>
      <c r="Q608" s="73">
        <f>Q609</f>
        <v>1216500</v>
      </c>
    </row>
    <row r="609" spans="2:17" ht="30" customHeight="1">
      <c r="B609" s="114" t="s">
        <v>345</v>
      </c>
      <c r="C609" s="115" t="s">
        <v>200</v>
      </c>
      <c r="D609" s="101" t="s">
        <v>98</v>
      </c>
      <c r="E609" s="115" t="s">
        <v>294</v>
      </c>
      <c r="F609" s="115" t="s">
        <v>347</v>
      </c>
      <c r="G609" s="73"/>
      <c r="H609" s="3"/>
      <c r="I609" s="73"/>
      <c r="J609" s="3"/>
      <c r="K609" s="73"/>
      <c r="L609" s="133"/>
      <c r="M609" s="73"/>
      <c r="N609" s="133"/>
      <c r="O609" s="73"/>
      <c r="P609" s="133">
        <v>1216500</v>
      </c>
      <c r="Q609" s="73">
        <f>P609+O609</f>
        <v>1216500</v>
      </c>
    </row>
    <row r="610" spans="2:17" ht="47.25" customHeight="1">
      <c r="B610" s="109" t="s">
        <v>182</v>
      </c>
      <c r="C610" s="97" t="s">
        <v>200</v>
      </c>
      <c r="D610" s="98" t="s">
        <v>98</v>
      </c>
      <c r="E610" s="97" t="s">
        <v>295</v>
      </c>
      <c r="F610" s="29"/>
      <c r="G610" s="73"/>
      <c r="H610" s="3"/>
      <c r="I610" s="73"/>
      <c r="J610" s="3"/>
      <c r="K610" s="73"/>
      <c r="L610" s="133"/>
      <c r="M610" s="73"/>
      <c r="N610" s="133"/>
      <c r="O610" s="73"/>
      <c r="P610" s="133"/>
      <c r="Q610" s="73">
        <f>Q611</f>
        <v>998500</v>
      </c>
    </row>
    <row r="611" spans="2:17" ht="33.75" customHeight="1">
      <c r="B611" s="114" t="s">
        <v>345</v>
      </c>
      <c r="C611" s="97" t="s">
        <v>200</v>
      </c>
      <c r="D611" s="98" t="s">
        <v>98</v>
      </c>
      <c r="E611" s="97" t="s">
        <v>295</v>
      </c>
      <c r="F611" s="55" t="s">
        <v>347</v>
      </c>
      <c r="G611" s="73"/>
      <c r="H611" s="3"/>
      <c r="I611" s="73"/>
      <c r="J611" s="3"/>
      <c r="K611" s="73"/>
      <c r="L611" s="133"/>
      <c r="M611" s="73"/>
      <c r="N611" s="133"/>
      <c r="O611" s="73"/>
      <c r="P611" s="133">
        <v>998500</v>
      </c>
      <c r="Q611" s="73">
        <f>P611+O611</f>
        <v>998500</v>
      </c>
    </row>
    <row r="612" spans="2:17" ht="32.25" customHeight="1">
      <c r="B612" s="92" t="s">
        <v>257</v>
      </c>
      <c r="C612" s="6" t="s">
        <v>200</v>
      </c>
      <c r="D612" s="9" t="s">
        <v>258</v>
      </c>
      <c r="E612" s="6"/>
      <c r="F612" s="6"/>
      <c r="G612" s="53">
        <f>G613+G618</f>
        <v>0</v>
      </c>
      <c r="H612" s="52"/>
      <c r="I612" s="53">
        <f>I613+I618</f>
        <v>0</v>
      </c>
      <c r="J612" s="52"/>
      <c r="K612" s="53">
        <f>K613+K618</f>
        <v>0</v>
      </c>
      <c r="L612" s="138"/>
      <c r="M612" s="53">
        <f>M613+M618</f>
        <v>4497632.8</v>
      </c>
      <c r="N612" s="138"/>
      <c r="O612" s="53">
        <f>O613+O618+O623</f>
        <v>4747632.8</v>
      </c>
      <c r="P612" s="138"/>
      <c r="Q612" s="53">
        <f>Q613+Q618+Q623</f>
        <v>4747632.8</v>
      </c>
    </row>
    <row r="613" spans="2:17" ht="51" customHeight="1">
      <c r="B613" s="92" t="s">
        <v>185</v>
      </c>
      <c r="C613" s="6" t="s">
        <v>200</v>
      </c>
      <c r="D613" s="6" t="s">
        <v>258</v>
      </c>
      <c r="E613" s="6" t="s">
        <v>373</v>
      </c>
      <c r="F613" s="6"/>
      <c r="G613" s="53">
        <f>G614+G615+G616</f>
        <v>0</v>
      </c>
      <c r="H613" s="52"/>
      <c r="I613" s="53">
        <f>I614+I615+I616+I617</f>
        <v>0</v>
      </c>
      <c r="J613" s="52"/>
      <c r="K613" s="53">
        <f>K614+K615+K616+K617</f>
        <v>0</v>
      </c>
      <c r="L613" s="138"/>
      <c r="M613" s="53">
        <f>M614+M615+M616+M617</f>
        <v>311129.80000000005</v>
      </c>
      <c r="N613" s="138"/>
      <c r="O613" s="53">
        <f>O614+O615+O616+O617</f>
        <v>311129.80000000005</v>
      </c>
      <c r="P613" s="138"/>
      <c r="Q613" s="53">
        <f>Q614+Q615+Q616+Q617</f>
        <v>311129.80000000005</v>
      </c>
    </row>
    <row r="614" spans="2:17" ht="33" customHeight="1">
      <c r="B614" s="92" t="s">
        <v>321</v>
      </c>
      <c r="C614" s="6" t="s">
        <v>200</v>
      </c>
      <c r="D614" s="6" t="s">
        <v>258</v>
      </c>
      <c r="E614" s="6" t="s">
        <v>373</v>
      </c>
      <c r="F614" s="6" t="s">
        <v>326</v>
      </c>
      <c r="G614" s="60">
        <v>0</v>
      </c>
      <c r="H614" s="44"/>
      <c r="I614" s="60">
        <f>G614+H614</f>
        <v>0</v>
      </c>
      <c r="J614" s="44"/>
      <c r="K614" s="60">
        <f>I614+J614</f>
        <v>0</v>
      </c>
      <c r="L614" s="155" t="s">
        <v>497</v>
      </c>
      <c r="M614" s="60">
        <f>K614+L614</f>
        <v>400</v>
      </c>
      <c r="N614" s="155" t="s">
        <v>402</v>
      </c>
      <c r="O614" s="60">
        <f>M614+N614</f>
        <v>400</v>
      </c>
      <c r="P614" s="155"/>
      <c r="Q614" s="60">
        <f>O614+P614</f>
        <v>400</v>
      </c>
    </row>
    <row r="615" spans="2:17" ht="49.5" customHeight="1">
      <c r="B615" s="92" t="s">
        <v>322</v>
      </c>
      <c r="C615" s="6" t="s">
        <v>200</v>
      </c>
      <c r="D615" s="6" t="s">
        <v>258</v>
      </c>
      <c r="E615" s="6" t="s">
        <v>373</v>
      </c>
      <c r="F615" s="6" t="s">
        <v>327</v>
      </c>
      <c r="G615" s="60">
        <v>0</v>
      </c>
      <c r="H615" s="101" t="s">
        <v>402</v>
      </c>
      <c r="I615" s="60">
        <f>G615+H615</f>
        <v>0</v>
      </c>
      <c r="J615" s="101" t="s">
        <v>402</v>
      </c>
      <c r="K615" s="60">
        <f>I615+J615</f>
        <v>0</v>
      </c>
      <c r="L615" s="159">
        <f>95288.1-3300</f>
        <v>91988.1</v>
      </c>
      <c r="M615" s="60">
        <f>K615+L615</f>
        <v>91988.1</v>
      </c>
      <c r="N615" s="159">
        <v>0</v>
      </c>
      <c r="O615" s="60">
        <f>M615+N615</f>
        <v>91988.1</v>
      </c>
      <c r="P615" s="159"/>
      <c r="Q615" s="60">
        <f>O615+P615</f>
        <v>91988.1</v>
      </c>
    </row>
    <row r="616" spans="2:17" ht="38.25" customHeight="1">
      <c r="B616" s="30" t="s">
        <v>382</v>
      </c>
      <c r="C616" s="6" t="s">
        <v>200</v>
      </c>
      <c r="D616" s="6" t="s">
        <v>258</v>
      </c>
      <c r="E616" s="6" t="s">
        <v>373</v>
      </c>
      <c r="F616" s="6" t="s">
        <v>328</v>
      </c>
      <c r="G616" s="60">
        <v>0</v>
      </c>
      <c r="H616" s="101" t="s">
        <v>402</v>
      </c>
      <c r="I616" s="60">
        <f>G616+H616</f>
        <v>0</v>
      </c>
      <c r="J616" s="101" t="s">
        <v>402</v>
      </c>
      <c r="K616" s="60">
        <f>I616+J616</f>
        <v>0</v>
      </c>
      <c r="L616" s="159">
        <f>215441.7+3300</f>
        <v>218741.7</v>
      </c>
      <c r="M616" s="60">
        <f>K616+L616</f>
        <v>218741.7</v>
      </c>
      <c r="N616" s="159">
        <v>0</v>
      </c>
      <c r="O616" s="60">
        <f>M616+N616</f>
        <v>218741.7</v>
      </c>
      <c r="P616" s="159"/>
      <c r="Q616" s="60">
        <f>O616+P616</f>
        <v>218741.7</v>
      </c>
    </row>
    <row r="617" spans="2:17" ht="36.75" customHeight="1" hidden="1">
      <c r="B617" s="54" t="s">
        <v>366</v>
      </c>
      <c r="C617" s="6" t="s">
        <v>200</v>
      </c>
      <c r="D617" s="6" t="s">
        <v>258</v>
      </c>
      <c r="E617" s="6" t="s">
        <v>373</v>
      </c>
      <c r="F617" s="6" t="s">
        <v>365</v>
      </c>
      <c r="G617" s="60">
        <v>0</v>
      </c>
      <c r="H617" s="44"/>
      <c r="I617" s="60">
        <f>G617+H617</f>
        <v>0</v>
      </c>
      <c r="J617" s="44"/>
      <c r="K617" s="60">
        <f>I617+J617</f>
        <v>0</v>
      </c>
      <c r="L617" s="155" t="s">
        <v>402</v>
      </c>
      <c r="M617" s="60">
        <f>K617+L617</f>
        <v>0</v>
      </c>
      <c r="N617" s="155" t="s">
        <v>402</v>
      </c>
      <c r="O617" s="60">
        <f>M617+N617</f>
        <v>0</v>
      </c>
      <c r="P617" s="155"/>
      <c r="Q617" s="60">
        <f>O617+P617</f>
        <v>0</v>
      </c>
    </row>
    <row r="618" spans="2:17" ht="51" customHeight="1">
      <c r="B618" s="51" t="s">
        <v>206</v>
      </c>
      <c r="C618" s="87"/>
      <c r="D618" s="44" t="s">
        <v>258</v>
      </c>
      <c r="E618" s="44" t="s">
        <v>374</v>
      </c>
      <c r="F618" s="44"/>
      <c r="G618" s="60">
        <f>G619+G620+G621+G622</f>
        <v>0</v>
      </c>
      <c r="H618" s="44"/>
      <c r="I618" s="60">
        <f>I619+I620+I621+I622</f>
        <v>0</v>
      </c>
      <c r="J618" s="44"/>
      <c r="K618" s="60">
        <f>K619+K620+K621+K622</f>
        <v>0</v>
      </c>
      <c r="L618" s="154"/>
      <c r="M618" s="60">
        <f>M619+M620+M621+M622</f>
        <v>4186503</v>
      </c>
      <c r="N618" s="154"/>
      <c r="O618" s="60">
        <f>O619+O620+O621+O622</f>
        <v>4186503</v>
      </c>
      <c r="P618" s="154"/>
      <c r="Q618" s="60">
        <f>Q619+Q620+Q621+Q622</f>
        <v>4186503</v>
      </c>
    </row>
    <row r="619" spans="2:17" ht="15.75">
      <c r="B619" s="31" t="s">
        <v>320</v>
      </c>
      <c r="C619" s="87"/>
      <c r="D619" s="44" t="s">
        <v>258</v>
      </c>
      <c r="E619" s="44" t="s">
        <v>374</v>
      </c>
      <c r="F619" s="44" t="s">
        <v>325</v>
      </c>
      <c r="G619" s="60">
        <v>0</v>
      </c>
      <c r="H619" s="44"/>
      <c r="I619" s="60">
        <f>G619+H619</f>
        <v>0</v>
      </c>
      <c r="J619" s="44"/>
      <c r="K619" s="60">
        <f>I619+J619</f>
        <v>0</v>
      </c>
      <c r="L619" s="155" t="s">
        <v>494</v>
      </c>
      <c r="M619" s="60">
        <f>K619+L619</f>
        <v>2033620</v>
      </c>
      <c r="N619" s="155" t="s">
        <v>402</v>
      </c>
      <c r="O619" s="60">
        <f>M619+N619</f>
        <v>2033620</v>
      </c>
      <c r="P619" s="155"/>
      <c r="Q619" s="60">
        <f>O619+P619</f>
        <v>2033620</v>
      </c>
    </row>
    <row r="620" spans="2:17" ht="36.75" customHeight="1">
      <c r="B620" s="31" t="s">
        <v>321</v>
      </c>
      <c r="C620" s="87"/>
      <c r="D620" s="44" t="s">
        <v>258</v>
      </c>
      <c r="E620" s="44" t="s">
        <v>374</v>
      </c>
      <c r="F620" s="44" t="s">
        <v>326</v>
      </c>
      <c r="G620" s="60">
        <v>0</v>
      </c>
      <c r="H620" s="44"/>
      <c r="I620" s="60">
        <f>G620+H620</f>
        <v>0</v>
      </c>
      <c r="J620" s="44"/>
      <c r="K620" s="60">
        <f>I620+J620</f>
        <v>0</v>
      </c>
      <c r="L620" s="155" t="s">
        <v>495</v>
      </c>
      <c r="M620" s="60">
        <f>K620+L620</f>
        <v>2000</v>
      </c>
      <c r="N620" s="155" t="s">
        <v>402</v>
      </c>
      <c r="O620" s="60">
        <f>M620+N620</f>
        <v>2000</v>
      </c>
      <c r="P620" s="155"/>
      <c r="Q620" s="60">
        <f>O620+P620</f>
        <v>2000</v>
      </c>
    </row>
    <row r="621" spans="2:17" ht="36.75" customHeight="1">
      <c r="B621" s="31" t="s">
        <v>322</v>
      </c>
      <c r="C621" s="87"/>
      <c r="D621" s="44" t="s">
        <v>258</v>
      </c>
      <c r="E621" s="44" t="s">
        <v>374</v>
      </c>
      <c r="F621" s="44" t="s">
        <v>327</v>
      </c>
      <c r="G621" s="60">
        <v>0</v>
      </c>
      <c r="H621" s="101" t="s">
        <v>402</v>
      </c>
      <c r="I621" s="60">
        <f>G621+H621</f>
        <v>0</v>
      </c>
      <c r="J621" s="101" t="s">
        <v>402</v>
      </c>
      <c r="K621" s="60">
        <f>I621+J621</f>
        <v>0</v>
      </c>
      <c r="L621" s="159">
        <f>486706-76800</f>
        <v>409906</v>
      </c>
      <c r="M621" s="60">
        <f>K621+L621</f>
        <v>409906</v>
      </c>
      <c r="N621" s="159">
        <v>0</v>
      </c>
      <c r="O621" s="60">
        <f>M621+N621</f>
        <v>409906</v>
      </c>
      <c r="P621" s="159"/>
      <c r="Q621" s="60">
        <f>O621+P621</f>
        <v>409906</v>
      </c>
    </row>
    <row r="622" spans="2:17" ht="36" customHeight="1">
      <c r="B622" s="7" t="s">
        <v>382</v>
      </c>
      <c r="C622" s="87"/>
      <c r="D622" s="44" t="s">
        <v>258</v>
      </c>
      <c r="E622" s="44" t="s">
        <v>374</v>
      </c>
      <c r="F622" s="44" t="s">
        <v>328</v>
      </c>
      <c r="G622" s="60">
        <v>0</v>
      </c>
      <c r="H622" s="101" t="s">
        <v>402</v>
      </c>
      <c r="I622" s="60">
        <f>G622+H622</f>
        <v>0</v>
      </c>
      <c r="J622" s="101" t="s">
        <v>402</v>
      </c>
      <c r="K622" s="60">
        <f>I622+J622</f>
        <v>0</v>
      </c>
      <c r="L622" s="159">
        <f>1664177+76800</f>
        <v>1740977</v>
      </c>
      <c r="M622" s="60">
        <f>K622+L622</f>
        <v>1740977</v>
      </c>
      <c r="N622" s="159">
        <v>0</v>
      </c>
      <c r="O622" s="60">
        <f>M622+N622</f>
        <v>1740977</v>
      </c>
      <c r="P622" s="159"/>
      <c r="Q622" s="60">
        <f>O622+P622</f>
        <v>1740977</v>
      </c>
    </row>
    <row r="623" spans="2:17" ht="15.75">
      <c r="B623" s="109" t="s">
        <v>481</v>
      </c>
      <c r="C623" s="6"/>
      <c r="D623" s="101" t="s">
        <v>258</v>
      </c>
      <c r="E623" s="103" t="s">
        <v>485</v>
      </c>
      <c r="F623" s="6"/>
      <c r="G623" s="60"/>
      <c r="H623" s="101"/>
      <c r="I623" s="60"/>
      <c r="J623" s="101"/>
      <c r="K623" s="60">
        <f>K624+K625</f>
        <v>250000</v>
      </c>
      <c r="L623" s="155"/>
      <c r="M623" s="60">
        <f>M624+M625</f>
        <v>250000</v>
      </c>
      <c r="N623" s="155"/>
      <c r="O623" s="60">
        <f>O624+O625</f>
        <v>250000</v>
      </c>
      <c r="P623" s="155"/>
      <c r="Q623" s="60">
        <f>Q624+Q625</f>
        <v>250000</v>
      </c>
    </row>
    <row r="624" spans="2:17" ht="21.75" customHeight="1">
      <c r="B624" s="96" t="s">
        <v>334</v>
      </c>
      <c r="C624" s="6"/>
      <c r="D624" s="101" t="s">
        <v>258</v>
      </c>
      <c r="E624" s="103" t="s">
        <v>485</v>
      </c>
      <c r="F624" s="6" t="s">
        <v>335</v>
      </c>
      <c r="G624" s="60"/>
      <c r="H624" s="101"/>
      <c r="I624" s="60"/>
      <c r="J624" s="101" t="s">
        <v>488</v>
      </c>
      <c r="K624" s="60">
        <f>I624+J624</f>
        <v>200000</v>
      </c>
      <c r="L624" s="155"/>
      <c r="M624" s="60">
        <f>K624+L624</f>
        <v>200000</v>
      </c>
      <c r="N624" s="155"/>
      <c r="O624" s="60">
        <f>M624+N624</f>
        <v>200000</v>
      </c>
      <c r="P624" s="155"/>
      <c r="Q624" s="60">
        <f>O624+P624</f>
        <v>200000</v>
      </c>
    </row>
    <row r="625" spans="2:17" ht="48.75" customHeight="1">
      <c r="B625" s="16" t="s">
        <v>378</v>
      </c>
      <c r="C625" s="87"/>
      <c r="D625" s="101" t="s">
        <v>258</v>
      </c>
      <c r="E625" s="103" t="s">
        <v>485</v>
      </c>
      <c r="F625" s="101" t="s">
        <v>360</v>
      </c>
      <c r="G625" s="60"/>
      <c r="H625" s="101"/>
      <c r="I625" s="60"/>
      <c r="J625" s="101" t="s">
        <v>487</v>
      </c>
      <c r="K625" s="60">
        <f>I625+J625</f>
        <v>50000</v>
      </c>
      <c r="L625" s="155"/>
      <c r="M625" s="60">
        <f>K625+L625</f>
        <v>50000</v>
      </c>
      <c r="N625" s="155"/>
      <c r="O625" s="60">
        <f>M625+N625</f>
        <v>50000</v>
      </c>
      <c r="P625" s="155"/>
      <c r="Q625" s="60">
        <f>O625+P625</f>
        <v>50000</v>
      </c>
    </row>
    <row r="626" spans="2:17" ht="15.75">
      <c r="B626" s="16" t="s">
        <v>247</v>
      </c>
      <c r="C626" s="46"/>
      <c r="D626" s="45" t="s">
        <v>248</v>
      </c>
      <c r="E626" s="46"/>
      <c r="F626" s="46"/>
      <c r="G626" s="60">
        <f>G627+G634</f>
        <v>0</v>
      </c>
      <c r="H626" s="40"/>
      <c r="I626" s="60">
        <f>I627+I634+I632</f>
        <v>1452000</v>
      </c>
      <c r="J626" s="40"/>
      <c r="K626" s="60">
        <f>K627+K634+K632</f>
        <v>1452000</v>
      </c>
      <c r="L626" s="135"/>
      <c r="M626" s="60">
        <f>M627+M634+M632</f>
        <v>1405800</v>
      </c>
      <c r="N626" s="135"/>
      <c r="O626" s="60">
        <f>O627+O634+O632</f>
        <v>1405800</v>
      </c>
      <c r="P626" s="135"/>
      <c r="Q626" s="60">
        <f>Q627+Q634+Q632</f>
        <v>1405800</v>
      </c>
    </row>
    <row r="627" spans="2:17" ht="31.5" customHeight="1">
      <c r="B627" s="23" t="s">
        <v>95</v>
      </c>
      <c r="C627" s="44"/>
      <c r="D627" s="44" t="s">
        <v>248</v>
      </c>
      <c r="E627" s="44">
        <v>5120000</v>
      </c>
      <c r="F627" s="44"/>
      <c r="G627" s="60">
        <f>G628</f>
        <v>0</v>
      </c>
      <c r="H627" s="40"/>
      <c r="I627" s="60">
        <f>I628</f>
        <v>722000</v>
      </c>
      <c r="J627" s="40"/>
      <c r="K627" s="60">
        <f>K628</f>
        <v>1252000</v>
      </c>
      <c r="L627" s="135"/>
      <c r="M627" s="60">
        <f>M628</f>
        <v>1205800</v>
      </c>
      <c r="N627" s="135"/>
      <c r="O627" s="60">
        <f>O628</f>
        <v>1205800</v>
      </c>
      <c r="P627" s="135"/>
      <c r="Q627" s="60">
        <f>Q628</f>
        <v>1205800</v>
      </c>
    </row>
    <row r="628" spans="2:17" ht="30.75" customHeight="1">
      <c r="B628" s="23" t="s">
        <v>221</v>
      </c>
      <c r="C628" s="44"/>
      <c r="D628" s="44" t="s">
        <v>248</v>
      </c>
      <c r="E628" s="44" t="s">
        <v>106</v>
      </c>
      <c r="F628" s="44"/>
      <c r="G628" s="60">
        <f>G629+G630+G631</f>
        <v>0</v>
      </c>
      <c r="H628" s="40"/>
      <c r="I628" s="60">
        <f>I629+I630+I631</f>
        <v>722000</v>
      </c>
      <c r="J628" s="40"/>
      <c r="K628" s="60">
        <f>K629+K630+K631</f>
        <v>1252000</v>
      </c>
      <c r="L628" s="135"/>
      <c r="M628" s="60">
        <f>M629+M630+M631</f>
        <v>1205800</v>
      </c>
      <c r="N628" s="135"/>
      <c r="O628" s="60">
        <f>O629+O630+O631</f>
        <v>1205800</v>
      </c>
      <c r="P628" s="135"/>
      <c r="Q628" s="60">
        <f>Q629+Q630+Q631</f>
        <v>1205800</v>
      </c>
    </row>
    <row r="629" spans="2:17" ht="31.5" hidden="1">
      <c r="B629" s="31" t="s">
        <v>321</v>
      </c>
      <c r="C629" s="44"/>
      <c r="D629" s="44" t="s">
        <v>248</v>
      </c>
      <c r="E629" s="44" t="s">
        <v>106</v>
      </c>
      <c r="F629" s="44" t="s">
        <v>326</v>
      </c>
      <c r="G629" s="60">
        <v>0</v>
      </c>
      <c r="H629" s="40"/>
      <c r="I629" s="60">
        <v>0</v>
      </c>
      <c r="J629" s="40"/>
      <c r="K629" s="60">
        <v>0</v>
      </c>
      <c r="L629" s="135"/>
      <c r="M629" s="60">
        <v>0</v>
      </c>
      <c r="N629" s="135"/>
      <c r="O629" s="60">
        <v>0</v>
      </c>
      <c r="P629" s="135"/>
      <c r="Q629" s="60">
        <v>0</v>
      </c>
    </row>
    <row r="630" spans="2:17" ht="34.5" customHeight="1" hidden="1">
      <c r="B630" s="16" t="s">
        <v>323</v>
      </c>
      <c r="C630" s="44"/>
      <c r="D630" s="44" t="s">
        <v>248</v>
      </c>
      <c r="E630" s="44" t="s">
        <v>106</v>
      </c>
      <c r="F630" s="44" t="s">
        <v>328</v>
      </c>
      <c r="G630" s="60">
        <v>0</v>
      </c>
      <c r="H630" s="40"/>
      <c r="I630" s="60">
        <v>0</v>
      </c>
      <c r="J630" s="40"/>
      <c r="K630" s="60">
        <v>0</v>
      </c>
      <c r="L630" s="135"/>
      <c r="M630" s="60">
        <v>0</v>
      </c>
      <c r="N630" s="135"/>
      <c r="O630" s="60">
        <v>0</v>
      </c>
      <c r="P630" s="135"/>
      <c r="Q630" s="60">
        <v>0</v>
      </c>
    </row>
    <row r="631" spans="2:17" ht="21.75" customHeight="1">
      <c r="B631" s="16" t="s">
        <v>334</v>
      </c>
      <c r="C631" s="44"/>
      <c r="D631" s="44" t="s">
        <v>248</v>
      </c>
      <c r="E631" s="44" t="s">
        <v>106</v>
      </c>
      <c r="F631" s="44" t="s">
        <v>335</v>
      </c>
      <c r="G631" s="73">
        <v>0</v>
      </c>
      <c r="H631" s="40">
        <v>722000</v>
      </c>
      <c r="I631" s="73">
        <f>G631+H631</f>
        <v>722000</v>
      </c>
      <c r="J631" s="40">
        <v>530000</v>
      </c>
      <c r="K631" s="73">
        <f>I631+J631</f>
        <v>1252000</v>
      </c>
      <c r="L631" s="135">
        <v>-46200</v>
      </c>
      <c r="M631" s="73">
        <f>K631+L631</f>
        <v>1205800</v>
      </c>
      <c r="N631" s="135">
        <v>0</v>
      </c>
      <c r="O631" s="73">
        <f>M631+N631</f>
        <v>1205800</v>
      </c>
      <c r="P631" s="135"/>
      <c r="Q631" s="73">
        <f>O631+P631</f>
        <v>1205800</v>
      </c>
    </row>
    <row r="632" spans="2:17" ht="75" customHeight="1" hidden="1">
      <c r="B632" s="96" t="s">
        <v>458</v>
      </c>
      <c r="C632" s="44"/>
      <c r="D632" s="101" t="s">
        <v>248</v>
      </c>
      <c r="E632" s="101" t="s">
        <v>457</v>
      </c>
      <c r="F632" s="44"/>
      <c r="G632" s="73"/>
      <c r="H632" s="40"/>
      <c r="I632" s="73">
        <f>I633</f>
        <v>0</v>
      </c>
      <c r="J632" s="40"/>
      <c r="K632" s="73">
        <f>K633</f>
        <v>0</v>
      </c>
      <c r="L632" s="135"/>
      <c r="M632" s="73">
        <f>M633</f>
        <v>0</v>
      </c>
      <c r="N632" s="135"/>
      <c r="O632" s="73">
        <f>O633</f>
        <v>0</v>
      </c>
      <c r="P632" s="135"/>
      <c r="Q632" s="73">
        <f>Q633</f>
        <v>0</v>
      </c>
    </row>
    <row r="633" spans="2:17" ht="47.25" customHeight="1" hidden="1">
      <c r="B633" s="31" t="s">
        <v>382</v>
      </c>
      <c r="C633" s="44"/>
      <c r="D633" s="101" t="s">
        <v>248</v>
      </c>
      <c r="E633" s="101" t="s">
        <v>457</v>
      </c>
      <c r="F633" s="101" t="s">
        <v>335</v>
      </c>
      <c r="G633" s="73"/>
      <c r="H633" s="40">
        <v>0</v>
      </c>
      <c r="I633" s="73">
        <f>G633+H633</f>
        <v>0</v>
      </c>
      <c r="J633" s="40">
        <v>0</v>
      </c>
      <c r="K633" s="73">
        <f>I633+J633</f>
        <v>0</v>
      </c>
      <c r="L633" s="135"/>
      <c r="M633" s="73">
        <f>K633+L633</f>
        <v>0</v>
      </c>
      <c r="N633" s="135"/>
      <c r="O633" s="73">
        <f>M633+N633</f>
        <v>0</v>
      </c>
      <c r="P633" s="135"/>
      <c r="Q633" s="73">
        <f>O633+P633</f>
        <v>0</v>
      </c>
    </row>
    <row r="634" spans="2:17" ht="17.25" customHeight="1">
      <c r="B634" s="16" t="s">
        <v>313</v>
      </c>
      <c r="C634" s="44"/>
      <c r="D634" s="44" t="s">
        <v>248</v>
      </c>
      <c r="E634" s="44" t="s">
        <v>104</v>
      </c>
      <c r="F634" s="44"/>
      <c r="G634" s="73">
        <f>G635+G637</f>
        <v>0</v>
      </c>
      <c r="H634" s="40"/>
      <c r="I634" s="73">
        <f>I635+I637</f>
        <v>730000</v>
      </c>
      <c r="J634" s="40"/>
      <c r="K634" s="73">
        <f>K635+K637</f>
        <v>200000</v>
      </c>
      <c r="L634" s="135"/>
      <c r="M634" s="73">
        <f>M635+M637</f>
        <v>200000</v>
      </c>
      <c r="N634" s="135"/>
      <c r="O634" s="73">
        <f>O635+O637</f>
        <v>200000</v>
      </c>
      <c r="P634" s="135"/>
      <c r="Q634" s="73">
        <f>Q635+Q637</f>
        <v>200000</v>
      </c>
    </row>
    <row r="635" spans="2:17" ht="0.75" customHeight="1" hidden="1">
      <c r="B635" s="81" t="s">
        <v>300</v>
      </c>
      <c r="C635" s="44" t="s">
        <v>200</v>
      </c>
      <c r="D635" s="44" t="s">
        <v>248</v>
      </c>
      <c r="E635" s="44" t="s">
        <v>268</v>
      </c>
      <c r="F635" s="44"/>
      <c r="G635" s="73">
        <f>G636</f>
        <v>0</v>
      </c>
      <c r="H635" s="40"/>
      <c r="I635" s="73">
        <f>I636</f>
        <v>0</v>
      </c>
      <c r="J635" s="40"/>
      <c r="K635" s="73">
        <f>K636</f>
        <v>0</v>
      </c>
      <c r="L635" s="135"/>
      <c r="M635" s="73">
        <f>M636</f>
        <v>0</v>
      </c>
      <c r="N635" s="135"/>
      <c r="O635" s="73">
        <f>O636</f>
        <v>0</v>
      </c>
      <c r="P635" s="135"/>
      <c r="Q635" s="73">
        <f>Q636</f>
        <v>0</v>
      </c>
    </row>
    <row r="636" spans="2:17" ht="17.25" customHeight="1" hidden="1">
      <c r="B636" s="32" t="s">
        <v>334</v>
      </c>
      <c r="C636" s="6" t="s">
        <v>200</v>
      </c>
      <c r="D636" s="6" t="s">
        <v>248</v>
      </c>
      <c r="E636" s="6" t="s">
        <v>268</v>
      </c>
      <c r="F636" s="6" t="s">
        <v>335</v>
      </c>
      <c r="G636" s="73">
        <v>0</v>
      </c>
      <c r="H636" s="40"/>
      <c r="I636" s="73">
        <v>0</v>
      </c>
      <c r="J636" s="40"/>
      <c r="K636" s="73">
        <v>0</v>
      </c>
      <c r="L636" s="135"/>
      <c r="M636" s="73">
        <v>0</v>
      </c>
      <c r="N636" s="135"/>
      <c r="O636" s="73">
        <v>0</v>
      </c>
      <c r="P636" s="135"/>
      <c r="Q636" s="73">
        <v>0</v>
      </c>
    </row>
    <row r="637" spans="2:17" ht="63.75" customHeight="1">
      <c r="B637" s="32" t="s">
        <v>303</v>
      </c>
      <c r="C637" s="44" t="s">
        <v>200</v>
      </c>
      <c r="D637" s="44" t="s">
        <v>248</v>
      </c>
      <c r="E637" s="44" t="s">
        <v>304</v>
      </c>
      <c r="F637" s="44"/>
      <c r="G637" s="73">
        <f>G638</f>
        <v>0</v>
      </c>
      <c r="H637" s="40"/>
      <c r="I637" s="73">
        <f>I638</f>
        <v>730000</v>
      </c>
      <c r="J637" s="40"/>
      <c r="K637" s="73">
        <f>K638</f>
        <v>200000</v>
      </c>
      <c r="L637" s="135"/>
      <c r="M637" s="73">
        <f>M638</f>
        <v>200000</v>
      </c>
      <c r="N637" s="135"/>
      <c r="O637" s="73">
        <f>O638</f>
        <v>200000</v>
      </c>
      <c r="P637" s="135"/>
      <c r="Q637" s="73">
        <f>Q638</f>
        <v>200000</v>
      </c>
    </row>
    <row r="638" spans="2:17" ht="21" customHeight="1">
      <c r="B638" s="32" t="s">
        <v>334</v>
      </c>
      <c r="C638" s="44" t="s">
        <v>200</v>
      </c>
      <c r="D638" s="44" t="s">
        <v>248</v>
      </c>
      <c r="E638" s="44" t="s">
        <v>304</v>
      </c>
      <c r="F638" s="44" t="s">
        <v>335</v>
      </c>
      <c r="G638" s="73">
        <v>0</v>
      </c>
      <c r="H638" s="110">
        <v>730000</v>
      </c>
      <c r="I638" s="73">
        <f>G638+H638</f>
        <v>730000</v>
      </c>
      <c r="J638" s="112">
        <v>-530000</v>
      </c>
      <c r="K638" s="73">
        <f>I638+J638</f>
        <v>200000</v>
      </c>
      <c r="L638" s="134"/>
      <c r="M638" s="73">
        <f>K638+L638</f>
        <v>200000</v>
      </c>
      <c r="N638" s="134"/>
      <c r="O638" s="73">
        <f>M638+N638</f>
        <v>200000</v>
      </c>
      <c r="P638" s="134"/>
      <c r="Q638" s="73">
        <f>O638+P638</f>
        <v>200000</v>
      </c>
    </row>
    <row r="639" spans="2:17" ht="35.25" customHeight="1">
      <c r="B639" s="61" t="s">
        <v>15</v>
      </c>
      <c r="C639" s="6" t="s">
        <v>200</v>
      </c>
      <c r="D639" s="9" t="s">
        <v>240</v>
      </c>
      <c r="E639" s="6"/>
      <c r="F639" s="6"/>
      <c r="G639" s="70">
        <f>G640</f>
        <v>0</v>
      </c>
      <c r="H639" s="52"/>
      <c r="I639" s="70">
        <f>I640</f>
        <v>2987900</v>
      </c>
      <c r="J639" s="52"/>
      <c r="K639" s="70">
        <f>K640</f>
        <v>2987900</v>
      </c>
      <c r="L639" s="138"/>
      <c r="M639" s="70">
        <f>M640</f>
        <v>2987900</v>
      </c>
      <c r="N639" s="138"/>
      <c r="O639" s="70">
        <f>O640</f>
        <v>2987900</v>
      </c>
      <c r="P639" s="138"/>
      <c r="Q639" s="70">
        <f>Q640</f>
        <v>2987900</v>
      </c>
    </row>
    <row r="640" spans="2:17" ht="30" customHeight="1">
      <c r="B640" s="32" t="s">
        <v>388</v>
      </c>
      <c r="C640" s="6" t="s">
        <v>200</v>
      </c>
      <c r="D640" s="6" t="s">
        <v>241</v>
      </c>
      <c r="E640" s="6" t="s">
        <v>16</v>
      </c>
      <c r="F640" s="6"/>
      <c r="G640" s="70">
        <f>G641</f>
        <v>0</v>
      </c>
      <c r="H640" s="52"/>
      <c r="I640" s="70">
        <f>I641</f>
        <v>2987900</v>
      </c>
      <c r="J640" s="52"/>
      <c r="K640" s="70">
        <f>K641</f>
        <v>2987900</v>
      </c>
      <c r="L640" s="138"/>
      <c r="M640" s="70">
        <f>M641</f>
        <v>2987900</v>
      </c>
      <c r="N640" s="138"/>
      <c r="O640" s="70">
        <f>O641</f>
        <v>2987900</v>
      </c>
      <c r="P640" s="138"/>
      <c r="Q640" s="70">
        <f>Q641</f>
        <v>2987900</v>
      </c>
    </row>
    <row r="641" spans="2:17" ht="33.75" customHeight="1">
      <c r="B641" s="32" t="s">
        <v>274</v>
      </c>
      <c r="C641" s="6" t="s">
        <v>200</v>
      </c>
      <c r="D641" s="6" t="s">
        <v>241</v>
      </c>
      <c r="E641" s="6" t="s">
        <v>149</v>
      </c>
      <c r="F641" s="6" t="s">
        <v>361</v>
      </c>
      <c r="G641" s="70">
        <v>0</v>
      </c>
      <c r="H641" s="52">
        <v>2987900</v>
      </c>
      <c r="I641" s="70">
        <f>G641+H641</f>
        <v>2987900</v>
      </c>
      <c r="J641" s="52">
        <v>0</v>
      </c>
      <c r="K641" s="70">
        <f>I641+J641</f>
        <v>2987900</v>
      </c>
      <c r="L641" s="138"/>
      <c r="M641" s="70">
        <f>K641+L641</f>
        <v>2987900</v>
      </c>
      <c r="N641" s="138"/>
      <c r="O641" s="70">
        <f>M641+N641</f>
        <v>2987900</v>
      </c>
      <c r="P641" s="138"/>
      <c r="Q641" s="70">
        <f>O641+P641</f>
        <v>2987900</v>
      </c>
    </row>
    <row r="642" spans="2:18" ht="18.75" customHeight="1">
      <c r="B642" s="45" t="s">
        <v>176</v>
      </c>
      <c r="C642" s="47"/>
      <c r="D642" s="47"/>
      <c r="E642" s="47"/>
      <c r="F642" s="47"/>
      <c r="G642" s="69" t="e">
        <f>G13+G149+G157+G180+G239+G310+G317+G493+G566+G639+G626</f>
        <v>#REF!</v>
      </c>
      <c r="H642" s="74"/>
      <c r="I642" s="69" t="e">
        <f>I13+I149+I157+I180+I239+I310+I317+I493+I566+I639+I626</f>
        <v>#REF!</v>
      </c>
      <c r="J642" s="74"/>
      <c r="K642" s="69" t="e">
        <f>K13+K149+K157+K180+K239+K310+K317+K493+K566+K639+K626</f>
        <v>#REF!</v>
      </c>
      <c r="L642" s="148"/>
      <c r="M642" s="69">
        <f>M13+M149+M157+M180+M239+M310+M317+M493+M566+M639+M626</f>
        <v>823895099</v>
      </c>
      <c r="N642" s="148"/>
      <c r="O642" s="69">
        <f>O13+O149+O157+O180+O239+O310+O317+O493+O566+O639+O626</f>
        <v>875087255.4199998</v>
      </c>
      <c r="P642" s="148"/>
      <c r="Q642" s="69">
        <f>Q13+Q149+Q157+Q180+Q239+Q310+Q317+Q493+Q566+Q639+Q626</f>
        <v>968415519.42</v>
      </c>
      <c r="R642" s="178"/>
    </row>
    <row r="643" spans="2:17" ht="18.75" customHeight="1">
      <c r="B643" s="203" t="s">
        <v>478</v>
      </c>
      <c r="C643" s="204"/>
      <c r="D643" s="204"/>
      <c r="E643" s="204"/>
      <c r="F643" s="204"/>
      <c r="G643" s="200" t="s">
        <v>174</v>
      </c>
      <c r="I643" s="200" t="s">
        <v>174</v>
      </c>
      <c r="K643" s="200" t="s">
        <v>174</v>
      </c>
      <c r="M643" s="200" t="s">
        <v>174</v>
      </c>
      <c r="O643" s="200" t="s">
        <v>174</v>
      </c>
      <c r="Q643" s="200" t="s">
        <v>174</v>
      </c>
    </row>
    <row r="644" spans="2:17" ht="18.75" customHeight="1">
      <c r="B644" s="205"/>
      <c r="C644" s="206"/>
      <c r="D644" s="206"/>
      <c r="E644" s="206"/>
      <c r="F644" s="206"/>
      <c r="G644" s="201"/>
      <c r="I644" s="201"/>
      <c r="K644" s="201"/>
      <c r="M644" s="201"/>
      <c r="O644" s="201"/>
      <c r="Q644" s="201"/>
    </row>
    <row r="645" spans="2:17" ht="9.75" customHeight="1">
      <c r="B645" s="205"/>
      <c r="C645" s="206"/>
      <c r="D645" s="206"/>
      <c r="E645" s="206"/>
      <c r="F645" s="206"/>
      <c r="G645" s="201"/>
      <c r="I645" s="201"/>
      <c r="K645" s="201"/>
      <c r="M645" s="201"/>
      <c r="O645" s="201"/>
      <c r="Q645" s="201"/>
    </row>
    <row r="646" spans="2:17" ht="18.75" customHeight="1" hidden="1">
      <c r="B646" s="207"/>
      <c r="C646" s="208"/>
      <c r="D646" s="208"/>
      <c r="E646" s="208"/>
      <c r="F646" s="208"/>
      <c r="G646" s="202"/>
      <c r="I646" s="202"/>
      <c r="K646" s="202"/>
      <c r="M646" s="202"/>
      <c r="O646" s="202"/>
      <c r="Q646" s="202"/>
    </row>
    <row r="647" spans="2:17" ht="20.25" customHeight="1">
      <c r="B647" s="83" t="s">
        <v>3</v>
      </c>
      <c r="C647" s="4" t="s">
        <v>4</v>
      </c>
      <c r="D647" s="45" t="s">
        <v>4</v>
      </c>
      <c r="E647" s="8"/>
      <c r="F647" s="8"/>
      <c r="G647" s="60" t="e">
        <f>G648+G653+G665+G697+G709+G727+G720+G724</f>
        <v>#REF!</v>
      </c>
      <c r="H647" s="3"/>
      <c r="I647" s="60">
        <f>I648+I653+I665+I697+I709+I727+I720+I724</f>
        <v>88416300</v>
      </c>
      <c r="J647" s="3"/>
      <c r="K647" s="60">
        <f>K648+K653+K665+K697+K709+K727+K720+K724</f>
        <v>78457900</v>
      </c>
      <c r="L647" s="133"/>
      <c r="M647" s="60">
        <f>M648+M653+M665+M697+M709+M727+M720+M724</f>
        <v>78037900</v>
      </c>
      <c r="N647" s="133"/>
      <c r="O647" s="60">
        <f>O648+O653+O665+O697+O709+O727+O720+O724</f>
        <v>82854837.48</v>
      </c>
      <c r="P647" s="133"/>
      <c r="Q647" s="60">
        <f>Q648+Q653+Q665+Q697+Q709+Q727+Q720+Q724</f>
        <v>94108328.08000001</v>
      </c>
    </row>
    <row r="648" spans="2:17" ht="47.25">
      <c r="B648" s="7" t="s">
        <v>136</v>
      </c>
      <c r="C648" s="5"/>
      <c r="D648" s="46" t="s">
        <v>5</v>
      </c>
      <c r="E648" s="8"/>
      <c r="F648" s="8"/>
      <c r="G648" s="60">
        <f>G649</f>
        <v>0</v>
      </c>
      <c r="H648" s="3"/>
      <c r="I648" s="60">
        <f>I649</f>
        <v>1211025</v>
      </c>
      <c r="J648" s="3"/>
      <c r="K648" s="60">
        <f>K649</f>
        <v>1211025</v>
      </c>
      <c r="L648" s="133"/>
      <c r="M648" s="60">
        <f>M649</f>
        <v>1211025</v>
      </c>
      <c r="N648" s="133"/>
      <c r="O648" s="60">
        <f>O649</f>
        <v>1211025</v>
      </c>
      <c r="P648" s="133"/>
      <c r="Q648" s="60">
        <f>Q649</f>
        <v>1211025</v>
      </c>
    </row>
    <row r="649" spans="2:17" ht="51" customHeight="1">
      <c r="B649" s="7" t="s">
        <v>137</v>
      </c>
      <c r="C649" s="4"/>
      <c r="D649" s="46" t="s">
        <v>5</v>
      </c>
      <c r="E649" s="8" t="s">
        <v>119</v>
      </c>
      <c r="F649" s="8"/>
      <c r="G649" s="60">
        <f>G650</f>
        <v>0</v>
      </c>
      <c r="H649" s="3"/>
      <c r="I649" s="60">
        <f>I650</f>
        <v>1211025</v>
      </c>
      <c r="J649" s="3"/>
      <c r="K649" s="60">
        <f>K650</f>
        <v>1211025</v>
      </c>
      <c r="L649" s="133"/>
      <c r="M649" s="60">
        <f>M650</f>
        <v>1211025</v>
      </c>
      <c r="N649" s="133"/>
      <c r="O649" s="60">
        <f>O650</f>
        <v>1211025</v>
      </c>
      <c r="P649" s="133"/>
      <c r="Q649" s="60">
        <f>Q650</f>
        <v>1211025</v>
      </c>
    </row>
    <row r="650" spans="2:17" ht="15.75">
      <c r="B650" s="7" t="s">
        <v>138</v>
      </c>
      <c r="C650" s="4"/>
      <c r="D650" s="46" t="s">
        <v>5</v>
      </c>
      <c r="E650" s="8" t="s">
        <v>139</v>
      </c>
      <c r="F650" s="8"/>
      <c r="G650" s="60">
        <f>G651+G652</f>
        <v>0</v>
      </c>
      <c r="H650" s="3"/>
      <c r="I650" s="60">
        <f>I651+I652</f>
        <v>1211025</v>
      </c>
      <c r="J650" s="3"/>
      <c r="K650" s="60">
        <f>K651+K652</f>
        <v>1211025</v>
      </c>
      <c r="L650" s="133"/>
      <c r="M650" s="60">
        <f>M651+M652</f>
        <v>1211025</v>
      </c>
      <c r="N650" s="133"/>
      <c r="O650" s="60">
        <f>O651+O652</f>
        <v>1211025</v>
      </c>
      <c r="P650" s="133"/>
      <c r="Q650" s="60">
        <f>Q651+Q652</f>
        <v>1211025</v>
      </c>
    </row>
    <row r="651" spans="2:17" ht="15.75">
      <c r="B651" s="31" t="s">
        <v>320</v>
      </c>
      <c r="C651" s="4"/>
      <c r="D651" s="46" t="s">
        <v>5</v>
      </c>
      <c r="E651" s="8" t="s">
        <v>139</v>
      </c>
      <c r="F651" s="8" t="s">
        <v>353</v>
      </c>
      <c r="G651" s="79">
        <v>0</v>
      </c>
      <c r="H651" s="3">
        <v>1169925</v>
      </c>
      <c r="I651" s="79">
        <f>G651+H651</f>
        <v>1169925</v>
      </c>
      <c r="J651" s="3">
        <v>0</v>
      </c>
      <c r="K651" s="79">
        <f>I651+J651</f>
        <v>1169925</v>
      </c>
      <c r="L651" s="133"/>
      <c r="M651" s="79">
        <f>K651+L651</f>
        <v>1169925</v>
      </c>
      <c r="N651" s="133"/>
      <c r="O651" s="79">
        <f>M651+N651</f>
        <v>1169925</v>
      </c>
      <c r="P651" s="133"/>
      <c r="Q651" s="79">
        <f>O651+P651</f>
        <v>1169925</v>
      </c>
    </row>
    <row r="652" spans="2:17" ht="31.5">
      <c r="B652" s="31" t="s">
        <v>321</v>
      </c>
      <c r="C652" s="4"/>
      <c r="D652" s="46" t="s">
        <v>5</v>
      </c>
      <c r="E652" s="8" t="s">
        <v>139</v>
      </c>
      <c r="F652" s="8" t="s">
        <v>354</v>
      </c>
      <c r="G652" s="79">
        <v>0</v>
      </c>
      <c r="H652" s="3">
        <v>41100</v>
      </c>
      <c r="I652" s="79">
        <f>G652+H652</f>
        <v>41100</v>
      </c>
      <c r="J652" s="3">
        <v>0</v>
      </c>
      <c r="K652" s="79">
        <f>I652+J652</f>
        <v>41100</v>
      </c>
      <c r="L652" s="133"/>
      <c r="M652" s="79">
        <f>K652+L652</f>
        <v>41100</v>
      </c>
      <c r="N652" s="133"/>
      <c r="O652" s="79">
        <f>M652+N652</f>
        <v>41100</v>
      </c>
      <c r="P652" s="133"/>
      <c r="Q652" s="79">
        <f>O652+P652</f>
        <v>41100</v>
      </c>
    </row>
    <row r="653" spans="2:17" ht="63">
      <c r="B653" s="7" t="s">
        <v>140</v>
      </c>
      <c r="C653" s="5"/>
      <c r="D653" s="46" t="s">
        <v>8</v>
      </c>
      <c r="E653" s="8"/>
      <c r="F653" s="8"/>
      <c r="G653" s="60">
        <f>G654+G663</f>
        <v>0</v>
      </c>
      <c r="H653" s="3"/>
      <c r="I653" s="60">
        <f>I654+I663</f>
        <v>1631775</v>
      </c>
      <c r="J653" s="3"/>
      <c r="K653" s="60">
        <f>K654+K663</f>
        <v>1631775</v>
      </c>
      <c r="L653" s="133"/>
      <c r="M653" s="60">
        <f>M654+M663</f>
        <v>1416259</v>
      </c>
      <c r="N653" s="133"/>
      <c r="O653" s="60">
        <f>O654+O663</f>
        <v>1416259</v>
      </c>
      <c r="P653" s="133"/>
      <c r="Q653" s="60">
        <f>Q654+Q663</f>
        <v>1407523.6</v>
      </c>
    </row>
    <row r="654" spans="2:17" ht="50.25" customHeight="1">
      <c r="B654" s="7" t="s">
        <v>137</v>
      </c>
      <c r="C654" s="4"/>
      <c r="D654" s="46" t="s">
        <v>8</v>
      </c>
      <c r="E654" s="8" t="s">
        <v>119</v>
      </c>
      <c r="F654" s="8"/>
      <c r="G654" s="60">
        <f>G655</f>
        <v>0</v>
      </c>
      <c r="H654" s="3"/>
      <c r="I654" s="60">
        <f>I655</f>
        <v>1618775</v>
      </c>
      <c r="J654" s="3"/>
      <c r="K654" s="60">
        <f>K655</f>
        <v>1618775</v>
      </c>
      <c r="L654" s="133"/>
      <c r="M654" s="60">
        <f>M655</f>
        <v>1403259</v>
      </c>
      <c r="N654" s="133"/>
      <c r="O654" s="60">
        <f>O655</f>
        <v>1403259</v>
      </c>
      <c r="P654" s="133"/>
      <c r="Q654" s="60">
        <f>Q655</f>
        <v>1394523.6</v>
      </c>
    </row>
    <row r="655" spans="2:17" ht="15.75">
      <c r="B655" s="7" t="s">
        <v>9</v>
      </c>
      <c r="C655" s="4"/>
      <c r="D655" s="46" t="s">
        <v>8</v>
      </c>
      <c r="E655" s="8" t="s">
        <v>120</v>
      </c>
      <c r="F655" s="8"/>
      <c r="G655" s="60">
        <f>G658+G659+G660+G661+G656+G657</f>
        <v>0</v>
      </c>
      <c r="H655" s="3"/>
      <c r="I655" s="60">
        <f>I658+I659+I660+I661+I656+I657</f>
        <v>1618775</v>
      </c>
      <c r="J655" s="3"/>
      <c r="K655" s="60">
        <f>K658+K659+K660+K661+K656+K657</f>
        <v>1618775</v>
      </c>
      <c r="L655" s="133"/>
      <c r="M655" s="60">
        <f>M658+M659+M660+M661+M656+M657</f>
        <v>1403259</v>
      </c>
      <c r="N655" s="133"/>
      <c r="O655" s="60">
        <f>O658+O659+O660+O661+O656+O657+O662</f>
        <v>1403259</v>
      </c>
      <c r="P655" s="133"/>
      <c r="Q655" s="60">
        <f>Q658+Q659+Q660+Q661+Q656+Q657+Q662</f>
        <v>1394523.6</v>
      </c>
    </row>
    <row r="656" spans="2:17" ht="16.5" customHeight="1">
      <c r="B656" s="31" t="s">
        <v>320</v>
      </c>
      <c r="C656" s="8" t="s">
        <v>375</v>
      </c>
      <c r="D656" s="8" t="s">
        <v>8</v>
      </c>
      <c r="E656" s="8" t="s">
        <v>120</v>
      </c>
      <c r="F656" s="8" t="s">
        <v>325</v>
      </c>
      <c r="G656" s="60">
        <v>0</v>
      </c>
      <c r="H656" s="3">
        <v>141879</v>
      </c>
      <c r="I656" s="60">
        <f aca="true" t="shared" si="27" ref="I656:K661">G656+H656</f>
        <v>141879</v>
      </c>
      <c r="J656" s="3">
        <v>0</v>
      </c>
      <c r="K656" s="60">
        <f t="shared" si="27"/>
        <v>141879</v>
      </c>
      <c r="L656" s="133"/>
      <c r="M656" s="60">
        <f aca="true" t="shared" si="28" ref="M656:O662">K656+L656</f>
        <v>141879</v>
      </c>
      <c r="N656" s="133">
        <v>-1000</v>
      </c>
      <c r="O656" s="60">
        <f t="shared" si="28"/>
        <v>140879</v>
      </c>
      <c r="P656" s="133"/>
      <c r="Q656" s="60">
        <f aca="true" t="shared" si="29" ref="Q656:Q662">O656+P656</f>
        <v>140879</v>
      </c>
    </row>
    <row r="657" spans="2:17" ht="32.25" customHeight="1">
      <c r="B657" s="31" t="s">
        <v>321</v>
      </c>
      <c r="C657" s="8" t="s">
        <v>375</v>
      </c>
      <c r="D657" s="8" t="s">
        <v>8</v>
      </c>
      <c r="E657" s="8" t="s">
        <v>120</v>
      </c>
      <c r="F657" s="8" t="s">
        <v>326</v>
      </c>
      <c r="G657" s="79">
        <v>0</v>
      </c>
      <c r="H657" s="3">
        <v>115</v>
      </c>
      <c r="I657" s="79">
        <f t="shared" si="27"/>
        <v>115</v>
      </c>
      <c r="J657" s="3">
        <v>0</v>
      </c>
      <c r="K657" s="79">
        <f t="shared" si="27"/>
        <v>115</v>
      </c>
      <c r="L657" s="133"/>
      <c r="M657" s="79">
        <f t="shared" si="28"/>
        <v>115</v>
      </c>
      <c r="N657" s="133"/>
      <c r="O657" s="79">
        <f t="shared" si="28"/>
        <v>115</v>
      </c>
      <c r="P657" s="133"/>
      <c r="Q657" s="79">
        <f t="shared" si="29"/>
        <v>115</v>
      </c>
    </row>
    <row r="658" spans="2:17" ht="15.75">
      <c r="B658" s="31" t="s">
        <v>320</v>
      </c>
      <c r="C658" s="4"/>
      <c r="D658" s="46" t="s">
        <v>8</v>
      </c>
      <c r="E658" s="8" t="s">
        <v>120</v>
      </c>
      <c r="F658" s="8" t="s">
        <v>353</v>
      </c>
      <c r="G658" s="79">
        <v>0</v>
      </c>
      <c r="H658" s="3">
        <v>1329958</v>
      </c>
      <c r="I658" s="79">
        <f t="shared" si="27"/>
        <v>1329958</v>
      </c>
      <c r="J658" s="3">
        <v>0</v>
      </c>
      <c r="K658" s="79">
        <f t="shared" si="27"/>
        <v>1329958</v>
      </c>
      <c r="L658" s="157">
        <f>-150000-215516</f>
        <v>-365516</v>
      </c>
      <c r="M658" s="79">
        <f t="shared" si="28"/>
        <v>964442</v>
      </c>
      <c r="N658" s="157">
        <v>0</v>
      </c>
      <c r="O658" s="79">
        <f t="shared" si="28"/>
        <v>964442</v>
      </c>
      <c r="P658" s="157">
        <v>-8735.4</v>
      </c>
      <c r="Q658" s="79">
        <f t="shared" si="29"/>
        <v>955706.6</v>
      </c>
    </row>
    <row r="659" spans="2:17" ht="31.5">
      <c r="B659" s="31" t="s">
        <v>321</v>
      </c>
      <c r="C659" s="4"/>
      <c r="D659" s="46" t="s">
        <v>8</v>
      </c>
      <c r="E659" s="8" t="s">
        <v>120</v>
      </c>
      <c r="F659" s="8" t="s">
        <v>354</v>
      </c>
      <c r="G659" s="60">
        <v>0</v>
      </c>
      <c r="H659" s="3">
        <v>10000</v>
      </c>
      <c r="I659" s="60">
        <f t="shared" si="27"/>
        <v>10000</v>
      </c>
      <c r="J659" s="3">
        <v>0</v>
      </c>
      <c r="K659" s="60">
        <f t="shared" si="27"/>
        <v>10000</v>
      </c>
      <c r="L659" s="133"/>
      <c r="M659" s="60">
        <f t="shared" si="28"/>
        <v>10000</v>
      </c>
      <c r="N659" s="133"/>
      <c r="O659" s="60">
        <f t="shared" si="28"/>
        <v>10000</v>
      </c>
      <c r="P659" s="133">
        <v>6000</v>
      </c>
      <c r="Q659" s="60">
        <f t="shared" si="29"/>
        <v>16000</v>
      </c>
    </row>
    <row r="660" spans="2:17" ht="47.25">
      <c r="B660" s="31" t="s">
        <v>322</v>
      </c>
      <c r="C660" s="4"/>
      <c r="D660" s="46" t="s">
        <v>8</v>
      </c>
      <c r="E660" s="8" t="s">
        <v>120</v>
      </c>
      <c r="F660" s="8" t="s">
        <v>327</v>
      </c>
      <c r="G660" s="60">
        <v>0</v>
      </c>
      <c r="H660" s="3">
        <v>69823</v>
      </c>
      <c r="I660" s="60">
        <f t="shared" si="27"/>
        <v>69823</v>
      </c>
      <c r="J660" s="3">
        <v>0</v>
      </c>
      <c r="K660" s="60">
        <f t="shared" si="27"/>
        <v>69823</v>
      </c>
      <c r="L660" s="133">
        <v>150000</v>
      </c>
      <c r="M660" s="60">
        <f t="shared" si="28"/>
        <v>219823</v>
      </c>
      <c r="N660" s="133">
        <v>0</v>
      </c>
      <c r="O660" s="60">
        <f t="shared" si="28"/>
        <v>219823</v>
      </c>
      <c r="P660" s="133"/>
      <c r="Q660" s="60">
        <f t="shared" si="29"/>
        <v>219823</v>
      </c>
    </row>
    <row r="661" spans="2:17" ht="31.5">
      <c r="B661" s="30" t="s">
        <v>382</v>
      </c>
      <c r="C661" s="4"/>
      <c r="D661" s="46" t="s">
        <v>8</v>
      </c>
      <c r="E661" s="8" t="s">
        <v>120</v>
      </c>
      <c r="F661" s="8" t="s">
        <v>328</v>
      </c>
      <c r="G661" s="60">
        <v>0</v>
      </c>
      <c r="H661" s="3">
        <v>67000</v>
      </c>
      <c r="I661" s="60">
        <f t="shared" si="27"/>
        <v>67000</v>
      </c>
      <c r="J661" s="3">
        <v>0</v>
      </c>
      <c r="K661" s="60">
        <f t="shared" si="27"/>
        <v>67000</v>
      </c>
      <c r="L661" s="133"/>
      <c r="M661" s="60">
        <f t="shared" si="28"/>
        <v>67000</v>
      </c>
      <c r="N661" s="133">
        <v>400</v>
      </c>
      <c r="O661" s="60">
        <f t="shared" si="28"/>
        <v>67400</v>
      </c>
      <c r="P661" s="133">
        <v>-6000</v>
      </c>
      <c r="Q661" s="60">
        <f t="shared" si="29"/>
        <v>61400</v>
      </c>
    </row>
    <row r="662" spans="2:17" ht="31.5">
      <c r="B662" s="31" t="s">
        <v>324</v>
      </c>
      <c r="C662" s="4"/>
      <c r="D662" s="98" t="s">
        <v>8</v>
      </c>
      <c r="E662" s="97" t="s">
        <v>120</v>
      </c>
      <c r="F662" s="97" t="s">
        <v>329</v>
      </c>
      <c r="G662" s="60"/>
      <c r="H662" s="3"/>
      <c r="I662" s="60"/>
      <c r="J662" s="3"/>
      <c r="K662" s="60"/>
      <c r="L662" s="133"/>
      <c r="M662" s="60"/>
      <c r="N662" s="133">
        <v>600</v>
      </c>
      <c r="O662" s="60">
        <f t="shared" si="28"/>
        <v>600</v>
      </c>
      <c r="P662" s="133"/>
      <c r="Q662" s="60">
        <f t="shared" si="29"/>
        <v>600</v>
      </c>
    </row>
    <row r="663" spans="2:17" ht="32.25" customHeight="1">
      <c r="B663" s="31" t="s">
        <v>369</v>
      </c>
      <c r="C663" s="4"/>
      <c r="D663" s="46" t="s">
        <v>8</v>
      </c>
      <c r="E663" s="8" t="s">
        <v>306</v>
      </c>
      <c r="F663" s="8"/>
      <c r="G663" s="60">
        <f>G664</f>
        <v>0</v>
      </c>
      <c r="H663" s="3"/>
      <c r="I663" s="60">
        <f>I664</f>
        <v>13000</v>
      </c>
      <c r="J663" s="3"/>
      <c r="K663" s="60">
        <f>K664</f>
        <v>13000</v>
      </c>
      <c r="L663" s="133"/>
      <c r="M663" s="60">
        <f>M664</f>
        <v>13000</v>
      </c>
      <c r="N663" s="133"/>
      <c r="O663" s="60">
        <f>O664</f>
        <v>13000</v>
      </c>
      <c r="P663" s="133"/>
      <c r="Q663" s="60">
        <f>Q664</f>
        <v>13000</v>
      </c>
    </row>
    <row r="664" spans="2:17" ht="15.75">
      <c r="B664" s="31" t="s">
        <v>334</v>
      </c>
      <c r="C664" s="4"/>
      <c r="D664" s="46" t="s">
        <v>8</v>
      </c>
      <c r="E664" s="8" t="s">
        <v>306</v>
      </c>
      <c r="F664" s="8" t="s">
        <v>335</v>
      </c>
      <c r="G664" s="60">
        <v>0</v>
      </c>
      <c r="H664" s="3">
        <v>13000</v>
      </c>
      <c r="I664" s="60">
        <f>G664+H664</f>
        <v>13000</v>
      </c>
      <c r="J664" s="3">
        <v>0</v>
      </c>
      <c r="K664" s="60">
        <f>I664+J664</f>
        <v>13000</v>
      </c>
      <c r="L664" s="133"/>
      <c r="M664" s="60">
        <f>K664+L664</f>
        <v>13000</v>
      </c>
      <c r="N664" s="133"/>
      <c r="O664" s="60">
        <f>M664+N664</f>
        <v>13000</v>
      </c>
      <c r="P664" s="133"/>
      <c r="Q664" s="60">
        <f>O664+P664</f>
        <v>13000</v>
      </c>
    </row>
    <row r="665" spans="2:17" ht="69.75" customHeight="1">
      <c r="B665" s="7" t="s">
        <v>141</v>
      </c>
      <c r="C665" s="5"/>
      <c r="D665" s="46" t="s">
        <v>11</v>
      </c>
      <c r="E665" s="8"/>
      <c r="F665" s="8"/>
      <c r="G665" s="60">
        <f>G666+G695+G688</f>
        <v>0</v>
      </c>
      <c r="H665" s="3"/>
      <c r="I665" s="60">
        <f>I666+I695+I688+I690+I693</f>
        <v>36674900</v>
      </c>
      <c r="J665" s="3"/>
      <c r="K665" s="60">
        <f>K666+K695+K688+K690+K693</f>
        <v>36484900</v>
      </c>
      <c r="L665" s="133"/>
      <c r="M665" s="60">
        <f>M666+M695+M688+M690+M693</f>
        <v>36332222</v>
      </c>
      <c r="N665" s="133"/>
      <c r="O665" s="60">
        <f>O666+O695+O688+O690+O693</f>
        <v>36240322.46</v>
      </c>
      <c r="P665" s="133"/>
      <c r="Q665" s="60">
        <f>Q666+Q695+Q688+Q690+Q693</f>
        <v>36240122.46</v>
      </c>
    </row>
    <row r="666" spans="2:17" ht="49.5" customHeight="1">
      <c r="B666" s="7" t="s">
        <v>137</v>
      </c>
      <c r="C666" s="4"/>
      <c r="D666" s="46" t="s">
        <v>11</v>
      </c>
      <c r="E666" s="8" t="s">
        <v>119</v>
      </c>
      <c r="F666" s="8"/>
      <c r="G666" s="60">
        <f>G667+G676+G679</f>
        <v>0</v>
      </c>
      <c r="H666" s="3"/>
      <c r="I666" s="60">
        <f>I667+I676+I679</f>
        <v>36557900</v>
      </c>
      <c r="J666" s="3"/>
      <c r="K666" s="60">
        <f>K667+K676+K679</f>
        <v>36367900</v>
      </c>
      <c r="L666" s="133"/>
      <c r="M666" s="60">
        <f>M667+M676+M679</f>
        <v>36215222</v>
      </c>
      <c r="N666" s="133"/>
      <c r="O666" s="60">
        <f>O667+O676+O679</f>
        <v>36123322.46</v>
      </c>
      <c r="P666" s="133"/>
      <c r="Q666" s="60">
        <f>Q667+Q676+Q679</f>
        <v>36123122.46</v>
      </c>
    </row>
    <row r="667" spans="2:17" ht="16.5" customHeight="1">
      <c r="B667" s="7" t="s">
        <v>9</v>
      </c>
      <c r="C667" s="4"/>
      <c r="D667" s="46" t="s">
        <v>11</v>
      </c>
      <c r="E667" s="8" t="s">
        <v>120</v>
      </c>
      <c r="F667" s="8"/>
      <c r="G667" s="60">
        <f>G668+G669+G670+G671+G672+G673+G674+G675</f>
        <v>0</v>
      </c>
      <c r="H667" s="3"/>
      <c r="I667" s="60">
        <f>I668+I669+I670+I671+I672+I673+I674+I675</f>
        <v>16051637</v>
      </c>
      <c r="J667" s="3"/>
      <c r="K667" s="60">
        <f>K668+K669+K670+K671+K672+K673+K674+K675</f>
        <v>15861637</v>
      </c>
      <c r="L667" s="133"/>
      <c r="M667" s="60">
        <f>M668+M669+M670+M671+M672+M673+M674+M675</f>
        <v>15742549</v>
      </c>
      <c r="N667" s="133"/>
      <c r="O667" s="60">
        <f>O668+O669+O670+O671+O672+O673+O674+O675</f>
        <v>15732549</v>
      </c>
      <c r="P667" s="133"/>
      <c r="Q667" s="60">
        <f>Q668+Q669+Q670+Q671+Q672+Q673+Q674+Q675</f>
        <v>15732549</v>
      </c>
    </row>
    <row r="668" spans="2:17" ht="15.75">
      <c r="B668" s="31" t="s">
        <v>320</v>
      </c>
      <c r="C668" s="4"/>
      <c r="D668" s="46" t="s">
        <v>11</v>
      </c>
      <c r="E668" s="8" t="s">
        <v>120</v>
      </c>
      <c r="F668" s="8" t="s">
        <v>325</v>
      </c>
      <c r="G668" s="60">
        <v>0</v>
      </c>
      <c r="H668" s="3">
        <v>2233793</v>
      </c>
      <c r="I668" s="60">
        <f aca="true" t="shared" si="30" ref="I668:K675">G668+H668</f>
        <v>2233793</v>
      </c>
      <c r="J668" s="3">
        <v>0</v>
      </c>
      <c r="K668" s="60">
        <f t="shared" si="30"/>
        <v>2233793</v>
      </c>
      <c r="L668" s="133"/>
      <c r="M668" s="60">
        <f aca="true" t="shared" si="31" ref="M668:O675">K668+L668</f>
        <v>2233793</v>
      </c>
      <c r="N668" s="133"/>
      <c r="O668" s="60">
        <f t="shared" si="31"/>
        <v>2233793</v>
      </c>
      <c r="P668" s="133"/>
      <c r="Q668" s="60">
        <f aca="true" t="shared" si="32" ref="Q668:Q675">O668+P668</f>
        <v>2233793</v>
      </c>
    </row>
    <row r="669" spans="2:17" ht="31.5">
      <c r="B669" s="31" t="s">
        <v>321</v>
      </c>
      <c r="C669" s="4"/>
      <c r="D669" s="46" t="s">
        <v>11</v>
      </c>
      <c r="E669" s="8" t="s">
        <v>120</v>
      </c>
      <c r="F669" s="8" t="s">
        <v>326</v>
      </c>
      <c r="G669" s="60">
        <v>0</v>
      </c>
      <c r="H669" s="3">
        <v>1450</v>
      </c>
      <c r="I669" s="60">
        <f t="shared" si="30"/>
        <v>1450</v>
      </c>
      <c r="J669" s="3">
        <v>0</v>
      </c>
      <c r="K669" s="60">
        <f t="shared" si="30"/>
        <v>1450</v>
      </c>
      <c r="L669" s="133"/>
      <c r="M669" s="60">
        <f t="shared" si="31"/>
        <v>1450</v>
      </c>
      <c r="N669" s="133"/>
      <c r="O669" s="60">
        <f t="shared" si="31"/>
        <v>1450</v>
      </c>
      <c r="P669" s="133"/>
      <c r="Q669" s="60">
        <f t="shared" si="32"/>
        <v>1450</v>
      </c>
    </row>
    <row r="670" spans="2:17" ht="16.5" customHeight="1">
      <c r="B670" s="31" t="s">
        <v>320</v>
      </c>
      <c r="C670" s="4"/>
      <c r="D670" s="46" t="s">
        <v>11</v>
      </c>
      <c r="E670" s="8" t="s">
        <v>120</v>
      </c>
      <c r="F670" s="8" t="s">
        <v>353</v>
      </c>
      <c r="G670" s="60">
        <v>0</v>
      </c>
      <c r="H670" s="3">
        <v>9071385</v>
      </c>
      <c r="I670" s="60">
        <f t="shared" si="30"/>
        <v>9071385</v>
      </c>
      <c r="J670" s="3">
        <v>0</v>
      </c>
      <c r="K670" s="60">
        <f t="shared" si="30"/>
        <v>9071385</v>
      </c>
      <c r="L670" s="157">
        <f>-33590-85498</f>
        <v>-119088</v>
      </c>
      <c r="M670" s="60">
        <f t="shared" si="31"/>
        <v>8952297</v>
      </c>
      <c r="N670" s="157">
        <v>0</v>
      </c>
      <c r="O670" s="60">
        <f t="shared" si="31"/>
        <v>8952297</v>
      </c>
      <c r="P670" s="157"/>
      <c r="Q670" s="60">
        <f t="shared" si="32"/>
        <v>8952297</v>
      </c>
    </row>
    <row r="671" spans="2:17" ht="31.5">
      <c r="B671" s="31" t="s">
        <v>321</v>
      </c>
      <c r="C671" s="4"/>
      <c r="D671" s="46" t="s">
        <v>11</v>
      </c>
      <c r="E671" s="8" t="s">
        <v>120</v>
      </c>
      <c r="F671" s="8" t="s">
        <v>354</v>
      </c>
      <c r="G671" s="60">
        <v>0</v>
      </c>
      <c r="H671" s="3">
        <v>90000</v>
      </c>
      <c r="I671" s="60">
        <f t="shared" si="30"/>
        <v>90000</v>
      </c>
      <c r="J671" s="3">
        <v>0</v>
      </c>
      <c r="K671" s="60">
        <f t="shared" si="30"/>
        <v>90000</v>
      </c>
      <c r="L671" s="133"/>
      <c r="M671" s="60">
        <f t="shared" si="31"/>
        <v>90000</v>
      </c>
      <c r="N671" s="133"/>
      <c r="O671" s="60">
        <f t="shared" si="31"/>
        <v>90000</v>
      </c>
      <c r="P671" s="133"/>
      <c r="Q671" s="60">
        <f t="shared" si="32"/>
        <v>90000</v>
      </c>
    </row>
    <row r="672" spans="2:17" ht="47.25">
      <c r="B672" s="31" t="s">
        <v>322</v>
      </c>
      <c r="C672" s="4"/>
      <c r="D672" s="46" t="s">
        <v>11</v>
      </c>
      <c r="E672" s="8" t="s">
        <v>120</v>
      </c>
      <c r="F672" s="8" t="s">
        <v>327</v>
      </c>
      <c r="G672" s="60">
        <v>0</v>
      </c>
      <c r="H672" s="3">
        <v>652206</v>
      </c>
      <c r="I672" s="60">
        <f t="shared" si="30"/>
        <v>652206</v>
      </c>
      <c r="J672" s="3">
        <v>0</v>
      </c>
      <c r="K672" s="60">
        <f t="shared" si="30"/>
        <v>652206</v>
      </c>
      <c r="L672" s="133"/>
      <c r="M672" s="60">
        <f t="shared" si="31"/>
        <v>652206</v>
      </c>
      <c r="N672" s="133">
        <v>-10000</v>
      </c>
      <c r="O672" s="60">
        <f t="shared" si="31"/>
        <v>642206</v>
      </c>
      <c r="P672" s="133"/>
      <c r="Q672" s="60">
        <f t="shared" si="32"/>
        <v>642206</v>
      </c>
    </row>
    <row r="673" spans="2:17" ht="31.5">
      <c r="B673" s="30" t="s">
        <v>382</v>
      </c>
      <c r="C673" s="4"/>
      <c r="D673" s="46" t="s">
        <v>11</v>
      </c>
      <c r="E673" s="8" t="s">
        <v>120</v>
      </c>
      <c r="F673" s="97" t="s">
        <v>328</v>
      </c>
      <c r="G673" s="60">
        <v>0</v>
      </c>
      <c r="H673" s="3">
        <v>3992666</v>
      </c>
      <c r="I673" s="60">
        <f t="shared" si="30"/>
        <v>3992666</v>
      </c>
      <c r="J673" s="3">
        <v>-235000</v>
      </c>
      <c r="K673" s="60">
        <f t="shared" si="30"/>
        <v>3757666</v>
      </c>
      <c r="L673" s="133"/>
      <c r="M673" s="60">
        <f t="shared" si="31"/>
        <v>3757666</v>
      </c>
      <c r="N673" s="133">
        <f>10000-10000</f>
        <v>0</v>
      </c>
      <c r="O673" s="60">
        <f t="shared" si="31"/>
        <v>3757666</v>
      </c>
      <c r="P673" s="133"/>
      <c r="Q673" s="60">
        <f t="shared" si="32"/>
        <v>3757666</v>
      </c>
    </row>
    <row r="674" spans="2:17" ht="31.5">
      <c r="B674" s="31" t="s">
        <v>324</v>
      </c>
      <c r="C674" s="4"/>
      <c r="D674" s="46" t="s">
        <v>11</v>
      </c>
      <c r="E674" s="8" t="s">
        <v>120</v>
      </c>
      <c r="F674" s="8" t="s">
        <v>329</v>
      </c>
      <c r="G674" s="60">
        <v>0</v>
      </c>
      <c r="H674" s="3">
        <v>3041</v>
      </c>
      <c r="I674" s="60">
        <f t="shared" si="30"/>
        <v>3041</v>
      </c>
      <c r="J674" s="3">
        <v>45000</v>
      </c>
      <c r="K674" s="60">
        <f t="shared" si="30"/>
        <v>48041</v>
      </c>
      <c r="L674" s="133"/>
      <c r="M674" s="60">
        <f t="shared" si="31"/>
        <v>48041</v>
      </c>
      <c r="N674" s="133"/>
      <c r="O674" s="60">
        <f t="shared" si="31"/>
        <v>48041</v>
      </c>
      <c r="P674" s="133"/>
      <c r="Q674" s="60">
        <f t="shared" si="32"/>
        <v>48041</v>
      </c>
    </row>
    <row r="675" spans="2:17" ht="16.5" customHeight="1">
      <c r="B675" s="31" t="s">
        <v>334</v>
      </c>
      <c r="C675" s="4"/>
      <c r="D675" s="46" t="s">
        <v>11</v>
      </c>
      <c r="E675" s="8" t="s">
        <v>120</v>
      </c>
      <c r="F675" s="8" t="s">
        <v>335</v>
      </c>
      <c r="G675" s="60">
        <v>0</v>
      </c>
      <c r="H675" s="3">
        <v>7096</v>
      </c>
      <c r="I675" s="60">
        <f t="shared" si="30"/>
        <v>7096</v>
      </c>
      <c r="J675" s="3">
        <v>0</v>
      </c>
      <c r="K675" s="60">
        <f t="shared" si="30"/>
        <v>7096</v>
      </c>
      <c r="L675" s="133"/>
      <c r="M675" s="60">
        <f t="shared" si="31"/>
        <v>7096</v>
      </c>
      <c r="N675" s="133"/>
      <c r="O675" s="60">
        <f t="shared" si="31"/>
        <v>7096</v>
      </c>
      <c r="P675" s="133"/>
      <c r="Q675" s="60">
        <f t="shared" si="32"/>
        <v>7096</v>
      </c>
    </row>
    <row r="676" spans="2:17" ht="47.25">
      <c r="B676" s="7" t="s">
        <v>142</v>
      </c>
      <c r="C676" s="4"/>
      <c r="D676" s="46" t="s">
        <v>11</v>
      </c>
      <c r="E676" s="8" t="s">
        <v>143</v>
      </c>
      <c r="F676" s="8"/>
      <c r="G676" s="60">
        <f>G677+G678</f>
        <v>0</v>
      </c>
      <c r="H676" s="3"/>
      <c r="I676" s="60">
        <f>I677+I678</f>
        <v>969763</v>
      </c>
      <c r="J676" s="3"/>
      <c r="K676" s="60">
        <f>K677+K678</f>
        <v>969763</v>
      </c>
      <c r="L676" s="133"/>
      <c r="M676" s="60">
        <f>M677+M678</f>
        <v>969763</v>
      </c>
      <c r="N676" s="133"/>
      <c r="O676" s="60">
        <f>O677+O678</f>
        <v>894361</v>
      </c>
      <c r="P676" s="133"/>
      <c r="Q676" s="60">
        <f>Q677+Q678</f>
        <v>894361</v>
      </c>
    </row>
    <row r="677" spans="2:17" ht="18" customHeight="1">
      <c r="B677" s="31" t="s">
        <v>320</v>
      </c>
      <c r="C677" s="8" t="s">
        <v>200</v>
      </c>
      <c r="D677" s="8" t="s">
        <v>11</v>
      </c>
      <c r="E677" s="8" t="s">
        <v>143</v>
      </c>
      <c r="F677" s="8" t="s">
        <v>353</v>
      </c>
      <c r="G677" s="60">
        <v>0</v>
      </c>
      <c r="H677" s="3">
        <v>919763</v>
      </c>
      <c r="I677" s="60">
        <f>G677+H677</f>
        <v>919763</v>
      </c>
      <c r="J677" s="3">
        <v>0</v>
      </c>
      <c r="K677" s="60">
        <f>I677+J677</f>
        <v>919763</v>
      </c>
      <c r="L677" s="133"/>
      <c r="M677" s="60">
        <f>K677+L677</f>
        <v>919763</v>
      </c>
      <c r="N677" s="133">
        <v>-75402</v>
      </c>
      <c r="O677" s="60">
        <f>M677+N677</f>
        <v>844361</v>
      </c>
      <c r="P677" s="133"/>
      <c r="Q677" s="60">
        <f>O677+P677</f>
        <v>844361</v>
      </c>
    </row>
    <row r="678" spans="2:17" ht="36" customHeight="1">
      <c r="B678" s="31" t="s">
        <v>321</v>
      </c>
      <c r="C678" s="8" t="s">
        <v>200</v>
      </c>
      <c r="D678" s="8" t="s">
        <v>11</v>
      </c>
      <c r="E678" s="8" t="s">
        <v>143</v>
      </c>
      <c r="F678" s="8" t="s">
        <v>354</v>
      </c>
      <c r="G678" s="60">
        <v>0</v>
      </c>
      <c r="H678" s="3">
        <v>50000</v>
      </c>
      <c r="I678" s="60">
        <f>G678+H678</f>
        <v>50000</v>
      </c>
      <c r="J678" s="3">
        <v>0</v>
      </c>
      <c r="K678" s="60">
        <f>I678+J678</f>
        <v>50000</v>
      </c>
      <c r="L678" s="133"/>
      <c r="M678" s="60">
        <f>K678+L678</f>
        <v>50000</v>
      </c>
      <c r="N678" s="133"/>
      <c r="O678" s="60">
        <f>M678+N678</f>
        <v>50000</v>
      </c>
      <c r="P678" s="133"/>
      <c r="Q678" s="60">
        <f>O678+P678</f>
        <v>50000</v>
      </c>
    </row>
    <row r="679" spans="2:17" ht="15.75">
      <c r="B679" s="7" t="s">
        <v>12</v>
      </c>
      <c r="C679" s="4"/>
      <c r="D679" s="46" t="s">
        <v>11</v>
      </c>
      <c r="E679" s="8" t="s">
        <v>144</v>
      </c>
      <c r="F679" s="8"/>
      <c r="G679" s="60">
        <f>G680+G681+G682+G683+G684+G685+G686+G687</f>
        <v>0</v>
      </c>
      <c r="H679" s="3"/>
      <c r="I679" s="60">
        <f>I680+I681+I682+I683+I684+I685+I686+I687</f>
        <v>19536500</v>
      </c>
      <c r="J679" s="3">
        <v>0</v>
      </c>
      <c r="K679" s="60">
        <f>K680+K681+K682+K683+K684+K685+K686+K687</f>
        <v>19536500</v>
      </c>
      <c r="L679" s="133"/>
      <c r="M679" s="60">
        <f>M680+M681+M682+M683+M684+M685+M686+M687</f>
        <v>19502910</v>
      </c>
      <c r="N679" s="133"/>
      <c r="O679" s="60">
        <f>O680+O681+O682+O683+O684+O685+O686+O687+O692</f>
        <v>19496412.46</v>
      </c>
      <c r="P679" s="133"/>
      <c r="Q679" s="60">
        <f>Q680+Q681+Q682+Q683+Q684+Q685+Q686+Q687+Q692</f>
        <v>19496212.46</v>
      </c>
    </row>
    <row r="680" spans="2:17" ht="15.75">
      <c r="B680" s="31" t="s">
        <v>320</v>
      </c>
      <c r="C680" s="4"/>
      <c r="D680" s="46" t="s">
        <v>11</v>
      </c>
      <c r="E680" s="8" t="s">
        <v>144</v>
      </c>
      <c r="F680" s="8" t="s">
        <v>325</v>
      </c>
      <c r="G680" s="79">
        <v>0</v>
      </c>
      <c r="H680" s="3">
        <v>1591415</v>
      </c>
      <c r="I680" s="79">
        <f>G680+H680</f>
        <v>1591415</v>
      </c>
      <c r="J680" s="3">
        <v>0</v>
      </c>
      <c r="K680" s="79">
        <f>I680+J680</f>
        <v>1591415</v>
      </c>
      <c r="L680" s="133"/>
      <c r="M680" s="79">
        <f>K680+L680</f>
        <v>1591415</v>
      </c>
      <c r="N680" s="133"/>
      <c r="O680" s="79">
        <f>M680+N680</f>
        <v>1591415</v>
      </c>
      <c r="P680" s="133"/>
      <c r="Q680" s="79">
        <f>O680+P680</f>
        <v>1591415</v>
      </c>
    </row>
    <row r="681" spans="2:17" ht="31.5">
      <c r="B681" s="31" t="s">
        <v>321</v>
      </c>
      <c r="C681" s="4"/>
      <c r="D681" s="46" t="s">
        <v>11</v>
      </c>
      <c r="E681" s="8" t="s">
        <v>144</v>
      </c>
      <c r="F681" s="8" t="s">
        <v>326</v>
      </c>
      <c r="G681" s="79">
        <v>0</v>
      </c>
      <c r="H681" s="3"/>
      <c r="I681" s="79"/>
      <c r="J681" s="3"/>
      <c r="K681" s="79"/>
      <c r="L681" s="133"/>
      <c r="M681" s="79"/>
      <c r="N681" s="133"/>
      <c r="O681" s="79"/>
      <c r="P681" s="133"/>
      <c r="Q681" s="79"/>
    </row>
    <row r="682" spans="2:17" ht="15" customHeight="1">
      <c r="B682" s="31" t="s">
        <v>320</v>
      </c>
      <c r="C682" s="4"/>
      <c r="D682" s="46" t="s">
        <v>11</v>
      </c>
      <c r="E682" s="8" t="s">
        <v>144</v>
      </c>
      <c r="F682" s="8" t="s">
        <v>353</v>
      </c>
      <c r="G682" s="79">
        <v>0</v>
      </c>
      <c r="H682" s="3">
        <v>11874980</v>
      </c>
      <c r="I682" s="79">
        <f aca="true" t="shared" si="33" ref="I682:K687">G682+H682</f>
        <v>11874980</v>
      </c>
      <c r="J682" s="3">
        <v>0</v>
      </c>
      <c r="K682" s="79">
        <f t="shared" si="33"/>
        <v>11874980</v>
      </c>
      <c r="L682" s="157">
        <f>-33590</f>
        <v>-33590</v>
      </c>
      <c r="M682" s="79">
        <f aca="true" t="shared" si="34" ref="M682:O687">K682+L682</f>
        <v>11841390</v>
      </c>
      <c r="N682" s="157">
        <v>-5242.54</v>
      </c>
      <c r="O682" s="79">
        <f t="shared" si="34"/>
        <v>11836147.46</v>
      </c>
      <c r="P682" s="157"/>
      <c r="Q682" s="79">
        <f aca="true" t="shared" si="35" ref="Q682:Q687">O682+P682</f>
        <v>11836147.46</v>
      </c>
    </row>
    <row r="683" spans="2:17" ht="31.5" hidden="1">
      <c r="B683" s="31" t="s">
        <v>321</v>
      </c>
      <c r="C683" s="4"/>
      <c r="D683" s="46" t="s">
        <v>11</v>
      </c>
      <c r="E683" s="8" t="s">
        <v>144</v>
      </c>
      <c r="F683" s="8" t="s">
        <v>354</v>
      </c>
      <c r="G683" s="79">
        <v>0</v>
      </c>
      <c r="H683" s="3">
        <v>0</v>
      </c>
      <c r="I683" s="79">
        <f t="shared" si="33"/>
        <v>0</v>
      </c>
      <c r="J683" s="3">
        <v>0</v>
      </c>
      <c r="K683" s="79">
        <f t="shared" si="33"/>
        <v>0</v>
      </c>
      <c r="L683" s="133"/>
      <c r="M683" s="79">
        <f t="shared" si="34"/>
        <v>0</v>
      </c>
      <c r="N683" s="133"/>
      <c r="O683" s="79">
        <f t="shared" si="34"/>
        <v>0</v>
      </c>
      <c r="P683" s="133"/>
      <c r="Q683" s="79">
        <f t="shared" si="35"/>
        <v>0</v>
      </c>
    </row>
    <row r="684" spans="2:17" ht="47.25">
      <c r="B684" s="31" t="s">
        <v>322</v>
      </c>
      <c r="C684" s="4"/>
      <c r="D684" s="46" t="s">
        <v>11</v>
      </c>
      <c r="E684" s="8" t="s">
        <v>144</v>
      </c>
      <c r="F684" s="8" t="s">
        <v>327</v>
      </c>
      <c r="G684" s="79">
        <v>0</v>
      </c>
      <c r="H684" s="3">
        <v>451681</v>
      </c>
      <c r="I684" s="79">
        <f t="shared" si="33"/>
        <v>451681</v>
      </c>
      <c r="J684" s="3">
        <v>0</v>
      </c>
      <c r="K684" s="79">
        <f t="shared" si="33"/>
        <v>451681</v>
      </c>
      <c r="L684" s="133">
        <v>-5038</v>
      </c>
      <c r="M684" s="79">
        <f t="shared" si="34"/>
        <v>446643</v>
      </c>
      <c r="N684" s="133">
        <f>-21695.92+180+6000</f>
        <v>-15515.919999999998</v>
      </c>
      <c r="O684" s="79">
        <f t="shared" si="34"/>
        <v>431127.08</v>
      </c>
      <c r="P684" s="133">
        <f>-3000+1550</f>
        <v>-1450</v>
      </c>
      <c r="Q684" s="79">
        <f t="shared" si="35"/>
        <v>429677.08</v>
      </c>
    </row>
    <row r="685" spans="2:17" ht="30.75" customHeight="1">
      <c r="B685" s="30" t="s">
        <v>382</v>
      </c>
      <c r="C685" s="4"/>
      <c r="D685" s="46" t="s">
        <v>11</v>
      </c>
      <c r="E685" s="8" t="s">
        <v>144</v>
      </c>
      <c r="F685" s="8" t="s">
        <v>328</v>
      </c>
      <c r="G685" s="79">
        <v>0</v>
      </c>
      <c r="H685" s="3">
        <v>5618424</v>
      </c>
      <c r="I685" s="79">
        <f t="shared" si="33"/>
        <v>5618424</v>
      </c>
      <c r="J685" s="3">
        <v>0</v>
      </c>
      <c r="K685" s="79">
        <f t="shared" si="33"/>
        <v>5618424</v>
      </c>
      <c r="L685" s="133">
        <v>5038</v>
      </c>
      <c r="M685" s="79">
        <f t="shared" si="34"/>
        <v>5623462</v>
      </c>
      <c r="N685" s="133">
        <f>32061.92-1780-11621-6000</f>
        <v>12660.919999999998</v>
      </c>
      <c r="O685" s="79">
        <f t="shared" si="34"/>
        <v>5636122.92</v>
      </c>
      <c r="P685" s="133">
        <f>2800-1550</f>
        <v>1250</v>
      </c>
      <c r="Q685" s="79">
        <f t="shared" si="35"/>
        <v>5637372.92</v>
      </c>
    </row>
    <row r="686" spans="2:17" ht="31.5" hidden="1">
      <c r="B686" s="31" t="s">
        <v>324</v>
      </c>
      <c r="C686" s="4"/>
      <c r="D686" s="46" t="s">
        <v>11</v>
      </c>
      <c r="E686" s="8" t="s">
        <v>144</v>
      </c>
      <c r="F686" s="8" t="s">
        <v>329</v>
      </c>
      <c r="G686" s="79">
        <v>0</v>
      </c>
      <c r="H686" s="3">
        <v>0</v>
      </c>
      <c r="I686" s="79">
        <f t="shared" si="33"/>
        <v>0</v>
      </c>
      <c r="J686" s="3">
        <v>0</v>
      </c>
      <c r="K686" s="79">
        <f t="shared" si="33"/>
        <v>0</v>
      </c>
      <c r="L686" s="133"/>
      <c r="M686" s="79">
        <f t="shared" si="34"/>
        <v>0</v>
      </c>
      <c r="N686" s="133"/>
      <c r="O686" s="79">
        <f t="shared" si="34"/>
        <v>0</v>
      </c>
      <c r="P686" s="133"/>
      <c r="Q686" s="79">
        <f t="shared" si="35"/>
        <v>0</v>
      </c>
    </row>
    <row r="687" spans="2:17" ht="15.75" customHeight="1" hidden="1">
      <c r="B687" s="31" t="s">
        <v>334</v>
      </c>
      <c r="C687" s="4"/>
      <c r="D687" s="46" t="s">
        <v>11</v>
      </c>
      <c r="E687" s="8" t="s">
        <v>144</v>
      </c>
      <c r="F687" s="8" t="s">
        <v>335</v>
      </c>
      <c r="G687" s="79">
        <v>0</v>
      </c>
      <c r="H687" s="3">
        <v>0</v>
      </c>
      <c r="I687" s="79">
        <f t="shared" si="33"/>
        <v>0</v>
      </c>
      <c r="J687" s="3">
        <v>0</v>
      </c>
      <c r="K687" s="79">
        <f t="shared" si="33"/>
        <v>0</v>
      </c>
      <c r="L687" s="133"/>
      <c r="M687" s="79">
        <f t="shared" si="34"/>
        <v>0</v>
      </c>
      <c r="N687" s="133"/>
      <c r="O687" s="79">
        <f t="shared" si="34"/>
        <v>0</v>
      </c>
      <c r="P687" s="133"/>
      <c r="Q687" s="79">
        <f t="shared" si="35"/>
        <v>0</v>
      </c>
    </row>
    <row r="688" spans="2:17" ht="78.75" hidden="1">
      <c r="B688" s="96" t="s">
        <v>446</v>
      </c>
      <c r="C688" s="97" t="s">
        <v>200</v>
      </c>
      <c r="D688" s="97" t="s">
        <v>11</v>
      </c>
      <c r="E688" s="97" t="s">
        <v>447</v>
      </c>
      <c r="F688" s="97"/>
      <c r="G688" s="79">
        <f>G689</f>
        <v>0</v>
      </c>
      <c r="H688" s="3"/>
      <c r="I688" s="79">
        <f>I689</f>
        <v>0</v>
      </c>
      <c r="J688" s="3"/>
      <c r="K688" s="79">
        <f>K689</f>
        <v>0</v>
      </c>
      <c r="L688" s="133"/>
      <c r="M688" s="79">
        <f>M689</f>
        <v>0</v>
      </c>
      <c r="N688" s="133"/>
      <c r="O688" s="79">
        <f>O689</f>
        <v>0</v>
      </c>
      <c r="P688" s="133"/>
      <c r="Q688" s="79">
        <f>Q689</f>
        <v>0</v>
      </c>
    </row>
    <row r="689" spans="2:17" ht="0.75" customHeight="1" hidden="1">
      <c r="B689" s="96" t="s">
        <v>320</v>
      </c>
      <c r="C689" s="97" t="s">
        <v>200</v>
      </c>
      <c r="D689" s="97" t="s">
        <v>11</v>
      </c>
      <c r="E689" s="97" t="s">
        <v>447</v>
      </c>
      <c r="F689" s="97" t="s">
        <v>325</v>
      </c>
      <c r="G689" s="79">
        <v>0</v>
      </c>
      <c r="H689" s="3"/>
      <c r="I689" s="79">
        <f>G689+H689</f>
        <v>0</v>
      </c>
      <c r="J689" s="3"/>
      <c r="K689" s="79">
        <f>I689+J689</f>
        <v>0</v>
      </c>
      <c r="L689" s="133"/>
      <c r="M689" s="79">
        <f>K689+L689</f>
        <v>0</v>
      </c>
      <c r="N689" s="133"/>
      <c r="O689" s="79">
        <f>M689+N689</f>
        <v>0</v>
      </c>
      <c r="P689" s="133"/>
      <c r="Q689" s="79">
        <f>O689+P689</f>
        <v>0</v>
      </c>
    </row>
    <row r="690" spans="2:17" ht="63" hidden="1">
      <c r="B690" s="96" t="s">
        <v>458</v>
      </c>
      <c r="C690" s="97"/>
      <c r="D690" s="97" t="s">
        <v>11</v>
      </c>
      <c r="E690" s="97" t="s">
        <v>457</v>
      </c>
      <c r="F690" s="97"/>
      <c r="G690" s="79"/>
      <c r="H690" s="3"/>
      <c r="I690" s="79">
        <f>I691</f>
        <v>0</v>
      </c>
      <c r="J690" s="3"/>
      <c r="K690" s="79">
        <f>K691</f>
        <v>0</v>
      </c>
      <c r="L690" s="133"/>
      <c r="M690" s="79">
        <f>M691</f>
        <v>0</v>
      </c>
      <c r="N690" s="133"/>
      <c r="O690" s="79">
        <f>O691</f>
        <v>0</v>
      </c>
      <c r="P690" s="133"/>
      <c r="Q690" s="79">
        <f>Q691</f>
        <v>0</v>
      </c>
    </row>
    <row r="691" spans="2:17" ht="31.5" hidden="1">
      <c r="B691" s="31" t="s">
        <v>382</v>
      </c>
      <c r="C691" s="97"/>
      <c r="D691" s="97" t="s">
        <v>11</v>
      </c>
      <c r="E691" s="97" t="s">
        <v>457</v>
      </c>
      <c r="F691" s="97" t="s">
        <v>328</v>
      </c>
      <c r="G691" s="79"/>
      <c r="H691" s="3">
        <v>0</v>
      </c>
      <c r="I691" s="79">
        <f>G691+H691</f>
        <v>0</v>
      </c>
      <c r="J691" s="3">
        <v>0</v>
      </c>
      <c r="K691" s="79">
        <f>I691+J691</f>
        <v>0</v>
      </c>
      <c r="L691" s="133"/>
      <c r="M691" s="79">
        <f>K691+L691</f>
        <v>0</v>
      </c>
      <c r="N691" s="133"/>
      <c r="O691" s="79">
        <f>M691+N691</f>
        <v>0</v>
      </c>
      <c r="P691" s="133"/>
      <c r="Q691" s="79">
        <f>O691+P691</f>
        <v>0</v>
      </c>
    </row>
    <row r="692" spans="2:17" ht="31.5">
      <c r="B692" s="31" t="s">
        <v>324</v>
      </c>
      <c r="C692" s="97"/>
      <c r="D692" s="97" t="s">
        <v>11</v>
      </c>
      <c r="E692" s="97" t="s">
        <v>144</v>
      </c>
      <c r="F692" s="97" t="s">
        <v>329</v>
      </c>
      <c r="G692" s="79"/>
      <c r="H692" s="3"/>
      <c r="I692" s="79"/>
      <c r="J692" s="3"/>
      <c r="K692" s="79"/>
      <c r="L692" s="133"/>
      <c r="M692" s="79"/>
      <c r="N692" s="133">
        <v>1600</v>
      </c>
      <c r="O692" s="79">
        <f>M692+N692</f>
        <v>1600</v>
      </c>
      <c r="P692" s="133"/>
      <c r="Q692" s="79">
        <f>O692+P692</f>
        <v>1600</v>
      </c>
    </row>
    <row r="693" spans="2:17" ht="42" customHeight="1">
      <c r="B693" s="96" t="s">
        <v>369</v>
      </c>
      <c r="C693" s="4"/>
      <c r="D693" s="46" t="s">
        <v>11</v>
      </c>
      <c r="E693" s="8" t="s">
        <v>306</v>
      </c>
      <c r="F693" s="8"/>
      <c r="G693" s="60">
        <f>G694</f>
        <v>0</v>
      </c>
      <c r="H693" s="3"/>
      <c r="I693" s="60">
        <f>I694</f>
        <v>117000</v>
      </c>
      <c r="J693" s="3"/>
      <c r="K693" s="60">
        <f>K694</f>
        <v>117000</v>
      </c>
      <c r="L693" s="133"/>
      <c r="M693" s="60">
        <f>M694</f>
        <v>117000</v>
      </c>
      <c r="N693" s="133"/>
      <c r="O693" s="60">
        <f>O694</f>
        <v>117000</v>
      </c>
      <c r="P693" s="133"/>
      <c r="Q693" s="60">
        <f>Q694</f>
        <v>117000</v>
      </c>
    </row>
    <row r="694" spans="2:17" ht="15.75">
      <c r="B694" s="31" t="s">
        <v>334</v>
      </c>
      <c r="C694" s="4"/>
      <c r="D694" s="46" t="s">
        <v>11</v>
      </c>
      <c r="E694" s="8" t="s">
        <v>306</v>
      </c>
      <c r="F694" s="8" t="s">
        <v>335</v>
      </c>
      <c r="G694" s="79">
        <v>0</v>
      </c>
      <c r="H694" s="3">
        <v>117000</v>
      </c>
      <c r="I694" s="79">
        <f>G694+H694</f>
        <v>117000</v>
      </c>
      <c r="J694" s="3">
        <v>0</v>
      </c>
      <c r="K694" s="79">
        <f>I694+J694</f>
        <v>117000</v>
      </c>
      <c r="L694" s="133"/>
      <c r="M694" s="79">
        <f>K694+L694</f>
        <v>117000</v>
      </c>
      <c r="N694" s="133"/>
      <c r="O694" s="79">
        <f>M694+N694</f>
        <v>117000</v>
      </c>
      <c r="P694" s="133"/>
      <c r="Q694" s="79">
        <f>O694+P694</f>
        <v>117000</v>
      </c>
    </row>
    <row r="695" spans="2:17" ht="15.75" customHeight="1" hidden="1">
      <c r="B695" s="7" t="s">
        <v>13</v>
      </c>
      <c r="C695" s="4"/>
      <c r="D695" s="46" t="s">
        <v>186</v>
      </c>
      <c r="E695" s="8"/>
      <c r="F695" s="8"/>
      <c r="G695" s="60">
        <f>G696</f>
        <v>0</v>
      </c>
      <c r="H695" s="3"/>
      <c r="I695" s="60">
        <f>I696</f>
        <v>0</v>
      </c>
      <c r="J695" s="3"/>
      <c r="K695" s="60">
        <f>K696</f>
        <v>0</v>
      </c>
      <c r="L695" s="133"/>
      <c r="M695" s="60">
        <f>M696</f>
        <v>0</v>
      </c>
      <c r="N695" s="133"/>
      <c r="O695" s="60">
        <f>O696</f>
        <v>0</v>
      </c>
      <c r="P695" s="133"/>
      <c r="Q695" s="60">
        <f>Q696</f>
        <v>0</v>
      </c>
    </row>
    <row r="696" spans="2:17" ht="24" customHeight="1" hidden="1">
      <c r="B696" s="31" t="s">
        <v>334</v>
      </c>
      <c r="C696" s="4"/>
      <c r="D696" s="46" t="s">
        <v>11</v>
      </c>
      <c r="E696" s="8" t="s">
        <v>306</v>
      </c>
      <c r="F696" s="8" t="s">
        <v>335</v>
      </c>
      <c r="G696" s="60">
        <v>0</v>
      </c>
      <c r="H696" s="3"/>
      <c r="I696" s="60">
        <f>G696+H696</f>
        <v>0</v>
      </c>
      <c r="J696" s="3"/>
      <c r="K696" s="60">
        <f>I696+J696</f>
        <v>0</v>
      </c>
      <c r="L696" s="133"/>
      <c r="M696" s="60">
        <f>K696+L696</f>
        <v>0</v>
      </c>
      <c r="N696" s="133"/>
      <c r="O696" s="60">
        <f>M696+N696</f>
        <v>0</v>
      </c>
      <c r="P696" s="133"/>
      <c r="Q696" s="60">
        <f>O696+P696</f>
        <v>0</v>
      </c>
    </row>
    <row r="697" spans="2:17" ht="63">
      <c r="B697" s="7" t="s">
        <v>145</v>
      </c>
      <c r="C697" s="5"/>
      <c r="D697" s="46" t="s">
        <v>14</v>
      </c>
      <c r="E697" s="8"/>
      <c r="F697" s="8"/>
      <c r="G697" s="60">
        <f>G698+G713+G718</f>
        <v>0</v>
      </c>
      <c r="H697" s="3"/>
      <c r="I697" s="60">
        <f>I698+I718</f>
        <v>8592600</v>
      </c>
      <c r="J697" s="3"/>
      <c r="K697" s="60">
        <f>K698+K718</f>
        <v>8649100</v>
      </c>
      <c r="L697" s="133"/>
      <c r="M697" s="60">
        <f>M698+M718</f>
        <v>8649100</v>
      </c>
      <c r="N697" s="133"/>
      <c r="O697" s="60">
        <f>O698+O718</f>
        <v>8649100</v>
      </c>
      <c r="P697" s="133"/>
      <c r="Q697" s="60">
        <f>Q698+Q718</f>
        <v>8649100</v>
      </c>
    </row>
    <row r="698" spans="2:17" ht="50.25" customHeight="1">
      <c r="B698" s="7" t="s">
        <v>137</v>
      </c>
      <c r="C698" s="4"/>
      <c r="D698" s="46" t="s">
        <v>14</v>
      </c>
      <c r="E698" s="8" t="s">
        <v>119</v>
      </c>
      <c r="F698" s="8"/>
      <c r="G698" s="60">
        <f>G699+G707</f>
        <v>0</v>
      </c>
      <c r="H698" s="3"/>
      <c r="I698" s="60">
        <f>I699+I707</f>
        <v>8527600</v>
      </c>
      <c r="J698" s="3"/>
      <c r="K698" s="60">
        <f>K699+K707</f>
        <v>8584100</v>
      </c>
      <c r="L698" s="133"/>
      <c r="M698" s="60">
        <f>M699+M707</f>
        <v>8584100</v>
      </c>
      <c r="N698" s="133"/>
      <c r="O698" s="60">
        <f>O699+O707</f>
        <v>8584100</v>
      </c>
      <c r="P698" s="133"/>
      <c r="Q698" s="60">
        <f>Q699+Q707</f>
        <v>8584100</v>
      </c>
    </row>
    <row r="699" spans="2:17" ht="15.75">
      <c r="B699" s="7" t="s">
        <v>9</v>
      </c>
      <c r="C699" s="4"/>
      <c r="D699" s="46" t="s">
        <v>14</v>
      </c>
      <c r="E699" s="8" t="s">
        <v>120</v>
      </c>
      <c r="F699" s="8"/>
      <c r="G699" s="60">
        <f>G700+G702+G703+G704+G705+G706+G701</f>
        <v>0</v>
      </c>
      <c r="H699" s="3"/>
      <c r="I699" s="60">
        <f>I700+I702+I703+I704+I705+I706+I701</f>
        <v>7921127</v>
      </c>
      <c r="J699" s="3"/>
      <c r="K699" s="60">
        <f>K700+K702+K703+K704+K705+K706+K701</f>
        <v>7977627</v>
      </c>
      <c r="L699" s="133"/>
      <c r="M699" s="60">
        <f>M700+M702+M703+M704+M705+M706+M701</f>
        <v>7977627</v>
      </c>
      <c r="N699" s="133"/>
      <c r="O699" s="60">
        <f>O700+O702+O703+O704+O705+O706+O701</f>
        <v>7977627</v>
      </c>
      <c r="P699" s="133"/>
      <c r="Q699" s="60">
        <f>Q700+Q702+Q703+Q704+Q705+Q706+Q701</f>
        <v>7977627</v>
      </c>
    </row>
    <row r="700" spans="2:17" ht="20.25" customHeight="1">
      <c r="B700" s="31" t="s">
        <v>320</v>
      </c>
      <c r="C700" s="8" t="s">
        <v>362</v>
      </c>
      <c r="D700" s="8" t="s">
        <v>14</v>
      </c>
      <c r="E700" s="8" t="s">
        <v>120</v>
      </c>
      <c r="F700" s="8" t="s">
        <v>325</v>
      </c>
      <c r="G700" s="79">
        <v>0</v>
      </c>
      <c r="H700" s="3">
        <f>550815</f>
        <v>550815</v>
      </c>
      <c r="I700" s="79">
        <f aca="true" t="shared" si="36" ref="I700:K708">G700+H700</f>
        <v>550815</v>
      </c>
      <c r="J700" s="3">
        <v>0</v>
      </c>
      <c r="K700" s="79">
        <f t="shared" si="36"/>
        <v>550815</v>
      </c>
      <c r="L700" s="133"/>
      <c r="M700" s="79">
        <f aca="true" t="shared" si="37" ref="M700:O706">K700+L700</f>
        <v>550815</v>
      </c>
      <c r="N700" s="133"/>
      <c r="O700" s="79">
        <f t="shared" si="37"/>
        <v>550815</v>
      </c>
      <c r="P700" s="133"/>
      <c r="Q700" s="79">
        <f aca="true" t="shared" si="38" ref="Q700:Q706">O700+P700</f>
        <v>550815</v>
      </c>
    </row>
    <row r="701" spans="2:17" ht="31.5">
      <c r="B701" s="31" t="s">
        <v>321</v>
      </c>
      <c r="C701" s="8"/>
      <c r="D701" s="8" t="s">
        <v>14</v>
      </c>
      <c r="E701" s="8" t="s">
        <v>120</v>
      </c>
      <c r="F701" s="8" t="s">
        <v>326</v>
      </c>
      <c r="G701" s="79">
        <v>0</v>
      </c>
      <c r="H701" s="3">
        <v>17200</v>
      </c>
      <c r="I701" s="79">
        <f t="shared" si="36"/>
        <v>17200</v>
      </c>
      <c r="J701" s="3">
        <v>0</v>
      </c>
      <c r="K701" s="79">
        <f t="shared" si="36"/>
        <v>17200</v>
      </c>
      <c r="L701" s="133"/>
      <c r="M701" s="79">
        <f t="shared" si="37"/>
        <v>17200</v>
      </c>
      <c r="N701" s="133"/>
      <c r="O701" s="79">
        <f t="shared" si="37"/>
        <v>17200</v>
      </c>
      <c r="P701" s="133"/>
      <c r="Q701" s="79">
        <f t="shared" si="38"/>
        <v>17200</v>
      </c>
    </row>
    <row r="702" spans="2:17" ht="20.25" customHeight="1">
      <c r="B702" s="31" t="s">
        <v>320</v>
      </c>
      <c r="C702" s="8"/>
      <c r="D702" s="8" t="s">
        <v>14</v>
      </c>
      <c r="E702" s="8" t="s">
        <v>120</v>
      </c>
      <c r="F702" s="8" t="s">
        <v>353</v>
      </c>
      <c r="G702" s="79">
        <v>0</v>
      </c>
      <c r="H702" s="3">
        <f>5079385+654122</f>
        <v>5733507</v>
      </c>
      <c r="I702" s="79">
        <f t="shared" si="36"/>
        <v>5733507</v>
      </c>
      <c r="J702" s="3">
        <v>0</v>
      </c>
      <c r="K702" s="79">
        <f t="shared" si="36"/>
        <v>5733507</v>
      </c>
      <c r="L702" s="133"/>
      <c r="M702" s="79">
        <f t="shared" si="37"/>
        <v>5733507</v>
      </c>
      <c r="N702" s="133"/>
      <c r="O702" s="79">
        <f t="shared" si="37"/>
        <v>5733507</v>
      </c>
      <c r="P702" s="133"/>
      <c r="Q702" s="79">
        <f t="shared" si="38"/>
        <v>5733507</v>
      </c>
    </row>
    <row r="703" spans="2:17" ht="31.5">
      <c r="B703" s="96" t="s">
        <v>321</v>
      </c>
      <c r="C703" s="8"/>
      <c r="D703" s="8" t="s">
        <v>14</v>
      </c>
      <c r="E703" s="8" t="s">
        <v>120</v>
      </c>
      <c r="F703" s="8" t="s">
        <v>354</v>
      </c>
      <c r="G703" s="79">
        <v>0</v>
      </c>
      <c r="H703" s="3">
        <f>9600+1945</f>
        <v>11545</v>
      </c>
      <c r="I703" s="79">
        <f t="shared" si="36"/>
        <v>11545</v>
      </c>
      <c r="J703" s="3">
        <v>0</v>
      </c>
      <c r="K703" s="79">
        <f t="shared" si="36"/>
        <v>11545</v>
      </c>
      <c r="L703" s="133"/>
      <c r="M703" s="79">
        <f t="shared" si="37"/>
        <v>11545</v>
      </c>
      <c r="N703" s="133"/>
      <c r="O703" s="79">
        <f t="shared" si="37"/>
        <v>11545</v>
      </c>
      <c r="P703" s="133"/>
      <c r="Q703" s="79">
        <f t="shared" si="38"/>
        <v>11545</v>
      </c>
    </row>
    <row r="704" spans="2:17" ht="47.25">
      <c r="B704" s="31" t="s">
        <v>322</v>
      </c>
      <c r="C704" s="8" t="s">
        <v>362</v>
      </c>
      <c r="D704" s="8" t="s">
        <v>14</v>
      </c>
      <c r="E704" s="8" t="s">
        <v>120</v>
      </c>
      <c r="F704" s="8" t="s">
        <v>327</v>
      </c>
      <c r="G704" s="79">
        <v>0</v>
      </c>
      <c r="H704" s="3">
        <f>938300+26000</f>
        <v>964300</v>
      </c>
      <c r="I704" s="79">
        <f t="shared" si="36"/>
        <v>964300</v>
      </c>
      <c r="J704" s="3">
        <v>0</v>
      </c>
      <c r="K704" s="79">
        <f t="shared" si="36"/>
        <v>964300</v>
      </c>
      <c r="L704" s="133">
        <v>-1000</v>
      </c>
      <c r="M704" s="79">
        <f t="shared" si="37"/>
        <v>963300</v>
      </c>
      <c r="N704" s="133">
        <v>-4500</v>
      </c>
      <c r="O704" s="79">
        <f t="shared" si="37"/>
        <v>958800</v>
      </c>
      <c r="P704" s="133"/>
      <c r="Q704" s="79">
        <f t="shared" si="38"/>
        <v>958800</v>
      </c>
    </row>
    <row r="705" spans="2:17" ht="33.75" customHeight="1">
      <c r="B705" s="30" t="s">
        <v>382</v>
      </c>
      <c r="C705" s="8" t="s">
        <v>362</v>
      </c>
      <c r="D705" s="8" t="s">
        <v>14</v>
      </c>
      <c r="E705" s="8" t="s">
        <v>120</v>
      </c>
      <c r="F705" s="8" t="s">
        <v>328</v>
      </c>
      <c r="G705" s="79">
        <v>0</v>
      </c>
      <c r="H705" s="3">
        <f>615700+27460</f>
        <v>643160</v>
      </c>
      <c r="I705" s="79">
        <f t="shared" si="36"/>
        <v>643160</v>
      </c>
      <c r="J705" s="3">
        <v>56500</v>
      </c>
      <c r="K705" s="79">
        <f t="shared" si="36"/>
        <v>699660</v>
      </c>
      <c r="L705" s="133">
        <v>1000</v>
      </c>
      <c r="M705" s="79">
        <f t="shared" si="37"/>
        <v>700660</v>
      </c>
      <c r="N705" s="133">
        <v>4500</v>
      </c>
      <c r="O705" s="79">
        <f t="shared" si="37"/>
        <v>705160</v>
      </c>
      <c r="P705" s="133"/>
      <c r="Q705" s="79">
        <f t="shared" si="38"/>
        <v>705160</v>
      </c>
    </row>
    <row r="706" spans="2:17" ht="33.75" customHeight="1">
      <c r="B706" s="31" t="s">
        <v>324</v>
      </c>
      <c r="C706" s="8" t="s">
        <v>362</v>
      </c>
      <c r="D706" s="8" t="s">
        <v>14</v>
      </c>
      <c r="E706" s="8" t="s">
        <v>120</v>
      </c>
      <c r="F706" s="8" t="s">
        <v>329</v>
      </c>
      <c r="G706" s="79">
        <v>0</v>
      </c>
      <c r="H706" s="3">
        <v>600</v>
      </c>
      <c r="I706" s="79">
        <f t="shared" si="36"/>
        <v>600</v>
      </c>
      <c r="J706" s="3">
        <v>0</v>
      </c>
      <c r="K706" s="79">
        <f t="shared" si="36"/>
        <v>600</v>
      </c>
      <c r="L706" s="133"/>
      <c r="M706" s="79">
        <f t="shared" si="37"/>
        <v>600</v>
      </c>
      <c r="N706" s="133"/>
      <c r="O706" s="79">
        <f t="shared" si="37"/>
        <v>600</v>
      </c>
      <c r="P706" s="133"/>
      <c r="Q706" s="79">
        <f t="shared" si="38"/>
        <v>600</v>
      </c>
    </row>
    <row r="707" spans="2:17" ht="47.25">
      <c r="B707" s="7" t="s">
        <v>146</v>
      </c>
      <c r="C707" s="4"/>
      <c r="D707" s="46" t="s">
        <v>14</v>
      </c>
      <c r="E707" s="8" t="s">
        <v>147</v>
      </c>
      <c r="F707" s="8"/>
      <c r="G707" s="60">
        <f>G708+G717</f>
        <v>0</v>
      </c>
      <c r="H707" s="3"/>
      <c r="I707" s="60">
        <f>I708+I717</f>
        <v>606473</v>
      </c>
      <c r="J707" s="3"/>
      <c r="K707" s="60">
        <f>K708+K717</f>
        <v>606473</v>
      </c>
      <c r="L707" s="133"/>
      <c r="M707" s="60">
        <f>M708+M717</f>
        <v>606473</v>
      </c>
      <c r="N707" s="133"/>
      <c r="O707" s="60">
        <f>O708+O717</f>
        <v>606473</v>
      </c>
      <c r="P707" s="133"/>
      <c r="Q707" s="60">
        <f>Q708+Q717</f>
        <v>606473</v>
      </c>
    </row>
    <row r="708" spans="2:17" ht="15.75">
      <c r="B708" s="31" t="s">
        <v>320</v>
      </c>
      <c r="C708" s="4"/>
      <c r="D708" s="46" t="s">
        <v>14</v>
      </c>
      <c r="E708" s="8" t="s">
        <v>147</v>
      </c>
      <c r="F708" s="8" t="s">
        <v>353</v>
      </c>
      <c r="G708" s="60">
        <v>0</v>
      </c>
      <c r="H708" s="3">
        <v>603273</v>
      </c>
      <c r="I708" s="79">
        <f t="shared" si="36"/>
        <v>603273</v>
      </c>
      <c r="J708" s="3">
        <v>0</v>
      </c>
      <c r="K708" s="79">
        <f t="shared" si="36"/>
        <v>603273</v>
      </c>
      <c r="L708" s="133"/>
      <c r="M708" s="79">
        <f>K708+L708</f>
        <v>603273</v>
      </c>
      <c r="N708" s="133"/>
      <c r="O708" s="79">
        <f>M708+N708</f>
        <v>603273</v>
      </c>
      <c r="P708" s="133"/>
      <c r="Q708" s="79">
        <f>O708+P708</f>
        <v>603273</v>
      </c>
    </row>
    <row r="709" spans="2:17" ht="31.5" hidden="1">
      <c r="B709" s="31" t="s">
        <v>321</v>
      </c>
      <c r="C709" s="5"/>
      <c r="D709" s="46" t="s">
        <v>148</v>
      </c>
      <c r="E709" s="8"/>
      <c r="F709" s="8"/>
      <c r="G709" s="60">
        <f>G710</f>
        <v>0</v>
      </c>
      <c r="H709" s="3"/>
      <c r="I709" s="60">
        <f>I710</f>
        <v>0</v>
      </c>
      <c r="J709" s="3"/>
      <c r="K709" s="60">
        <f>K710</f>
        <v>0</v>
      </c>
      <c r="L709" s="133"/>
      <c r="M709" s="60">
        <f>M710</f>
        <v>0</v>
      </c>
      <c r="N709" s="133"/>
      <c r="O709" s="60">
        <f>O710</f>
        <v>0</v>
      </c>
      <c r="P709" s="133"/>
      <c r="Q709" s="60">
        <f>Q710</f>
        <v>0</v>
      </c>
    </row>
    <row r="710" spans="2:17" ht="31.5" hidden="1">
      <c r="B710" s="7" t="s">
        <v>102</v>
      </c>
      <c r="C710" s="4"/>
      <c r="D710" s="46" t="s">
        <v>148</v>
      </c>
      <c r="E710" s="8" t="s">
        <v>16</v>
      </c>
      <c r="F710" s="8"/>
      <c r="G710" s="60">
        <f>G711</f>
        <v>0</v>
      </c>
      <c r="H710" s="3"/>
      <c r="I710" s="60">
        <f>I711</f>
        <v>0</v>
      </c>
      <c r="J710" s="3"/>
      <c r="K710" s="60">
        <f>K711</f>
        <v>0</v>
      </c>
      <c r="L710" s="133"/>
      <c r="M710" s="60">
        <f>M711</f>
        <v>0</v>
      </c>
      <c r="N710" s="133"/>
      <c r="O710" s="60">
        <f>O711</f>
        <v>0</v>
      </c>
      <c r="P710" s="133"/>
      <c r="Q710" s="60">
        <f>Q711</f>
        <v>0</v>
      </c>
    </row>
    <row r="711" spans="2:17" ht="31.5" hidden="1">
      <c r="B711" s="7" t="s">
        <v>17</v>
      </c>
      <c r="C711" s="4"/>
      <c r="D711" s="46" t="s">
        <v>148</v>
      </c>
      <c r="E711" s="8" t="s">
        <v>149</v>
      </c>
      <c r="F711" s="8"/>
      <c r="G711" s="60">
        <f>G712</f>
        <v>0</v>
      </c>
      <c r="H711" s="3"/>
      <c r="I711" s="60">
        <f>I712</f>
        <v>0</v>
      </c>
      <c r="J711" s="3"/>
      <c r="K711" s="60">
        <f>K712</f>
        <v>0</v>
      </c>
      <c r="L711" s="133"/>
      <c r="M711" s="60">
        <f>M712</f>
        <v>0</v>
      </c>
      <c r="N711" s="133"/>
      <c r="O711" s="60">
        <f>O712</f>
        <v>0</v>
      </c>
      <c r="P711" s="133"/>
      <c r="Q711" s="60">
        <f>Q712</f>
        <v>0</v>
      </c>
    </row>
    <row r="712" spans="2:17" ht="15.75" hidden="1">
      <c r="B712" s="7" t="s">
        <v>150</v>
      </c>
      <c r="C712" s="4"/>
      <c r="D712" s="46" t="s">
        <v>148</v>
      </c>
      <c r="E712" s="8" t="s">
        <v>149</v>
      </c>
      <c r="F712" s="8" t="s">
        <v>114</v>
      </c>
      <c r="G712" s="60">
        <v>0</v>
      </c>
      <c r="H712" s="3"/>
      <c r="I712" s="60">
        <v>0</v>
      </c>
      <c r="J712" s="3"/>
      <c r="K712" s="60">
        <v>0</v>
      </c>
      <c r="L712" s="133"/>
      <c r="M712" s="60">
        <v>0</v>
      </c>
      <c r="N712" s="133"/>
      <c r="O712" s="60">
        <v>0</v>
      </c>
      <c r="P712" s="133"/>
      <c r="Q712" s="60">
        <v>0</v>
      </c>
    </row>
    <row r="713" spans="2:17" ht="16.5" customHeight="1" hidden="1">
      <c r="B713" s="58" t="s">
        <v>235</v>
      </c>
      <c r="C713" s="4"/>
      <c r="D713" s="46" t="s">
        <v>14</v>
      </c>
      <c r="E713" s="8" t="s">
        <v>233</v>
      </c>
      <c r="F713" s="8"/>
      <c r="G713" s="60">
        <f>G714</f>
        <v>0</v>
      </c>
      <c r="H713" s="3"/>
      <c r="I713" s="60">
        <f>I714</f>
        <v>0</v>
      </c>
      <c r="J713" s="3"/>
      <c r="K713" s="60">
        <f>K714</f>
        <v>0</v>
      </c>
      <c r="L713" s="133"/>
      <c r="M713" s="60">
        <f>M714</f>
        <v>0</v>
      </c>
      <c r="N713" s="133"/>
      <c r="O713" s="60">
        <f>O714</f>
        <v>0</v>
      </c>
      <c r="P713" s="133"/>
      <c r="Q713" s="60">
        <f>Q714</f>
        <v>0</v>
      </c>
    </row>
    <row r="714" spans="2:17" ht="5.25" customHeight="1" hidden="1">
      <c r="B714" s="58" t="s">
        <v>236</v>
      </c>
      <c r="C714" s="4"/>
      <c r="D714" s="46" t="s">
        <v>14</v>
      </c>
      <c r="E714" s="8" t="s">
        <v>232</v>
      </c>
      <c r="F714" s="8"/>
      <c r="G714" s="60">
        <f>G715</f>
        <v>0</v>
      </c>
      <c r="H714" s="3"/>
      <c r="I714" s="60">
        <f>I715</f>
        <v>0</v>
      </c>
      <c r="J714" s="3"/>
      <c r="K714" s="60">
        <f>K715</f>
        <v>0</v>
      </c>
      <c r="L714" s="133"/>
      <c r="M714" s="60">
        <f>M715</f>
        <v>0</v>
      </c>
      <c r="N714" s="133"/>
      <c r="O714" s="60">
        <f>O715</f>
        <v>0</v>
      </c>
      <c r="P714" s="133"/>
      <c r="Q714" s="60">
        <f>Q715</f>
        <v>0</v>
      </c>
    </row>
    <row r="715" spans="2:17" ht="63" hidden="1">
      <c r="B715" s="58" t="s">
        <v>253</v>
      </c>
      <c r="C715" s="4"/>
      <c r="D715" s="46" t="s">
        <v>14</v>
      </c>
      <c r="E715" s="8" t="s">
        <v>234</v>
      </c>
      <c r="F715" s="8"/>
      <c r="G715" s="60">
        <f>G716</f>
        <v>0</v>
      </c>
      <c r="H715" s="3"/>
      <c r="I715" s="60">
        <f>I716</f>
        <v>0</v>
      </c>
      <c r="J715" s="3"/>
      <c r="K715" s="60">
        <f>K716</f>
        <v>0</v>
      </c>
      <c r="L715" s="133"/>
      <c r="M715" s="60">
        <f>M716</f>
        <v>0</v>
      </c>
      <c r="N715" s="133"/>
      <c r="O715" s="60">
        <f>O716</f>
        <v>0</v>
      </c>
      <c r="P715" s="133"/>
      <c r="Q715" s="60">
        <f>Q716</f>
        <v>0</v>
      </c>
    </row>
    <row r="716" spans="2:17" ht="15.75" customHeight="1" hidden="1">
      <c r="B716" s="7" t="s">
        <v>37</v>
      </c>
      <c r="C716" s="4"/>
      <c r="D716" s="46" t="s">
        <v>14</v>
      </c>
      <c r="E716" s="8" t="s">
        <v>234</v>
      </c>
      <c r="F716" s="8" t="s">
        <v>38</v>
      </c>
      <c r="G716" s="60">
        <v>0</v>
      </c>
      <c r="H716" s="3"/>
      <c r="I716" s="60">
        <f>G716+H716</f>
        <v>0</v>
      </c>
      <c r="J716" s="3"/>
      <c r="K716" s="60">
        <f>I716+J716</f>
        <v>0</v>
      </c>
      <c r="L716" s="133"/>
      <c r="M716" s="60">
        <f>K716+L716</f>
        <v>0</v>
      </c>
      <c r="N716" s="133"/>
      <c r="O716" s="60">
        <f>M716+N716</f>
        <v>0</v>
      </c>
      <c r="P716" s="133"/>
      <c r="Q716" s="60">
        <f>O716+P716</f>
        <v>0</v>
      </c>
    </row>
    <row r="717" spans="2:17" ht="31.5">
      <c r="B717" s="31" t="s">
        <v>321</v>
      </c>
      <c r="C717" s="4"/>
      <c r="D717" s="46" t="s">
        <v>14</v>
      </c>
      <c r="E717" s="8" t="s">
        <v>147</v>
      </c>
      <c r="F717" s="8" t="s">
        <v>354</v>
      </c>
      <c r="G717" s="60">
        <v>0</v>
      </c>
      <c r="H717" s="3">
        <v>3200</v>
      </c>
      <c r="I717" s="60">
        <f>G717+H717</f>
        <v>3200</v>
      </c>
      <c r="J717" s="3">
        <v>0</v>
      </c>
      <c r="K717" s="60">
        <f>I717+J717</f>
        <v>3200</v>
      </c>
      <c r="L717" s="133"/>
      <c r="M717" s="60">
        <f>K717+L717</f>
        <v>3200</v>
      </c>
      <c r="N717" s="133"/>
      <c r="O717" s="60">
        <f>M717+N717</f>
        <v>3200</v>
      </c>
      <c r="P717" s="133"/>
      <c r="Q717" s="60">
        <f>O717+P717</f>
        <v>3200</v>
      </c>
    </row>
    <row r="718" spans="2:17" ht="34.5" customHeight="1">
      <c r="B718" s="96" t="s">
        <v>369</v>
      </c>
      <c r="C718" s="4"/>
      <c r="D718" s="46" t="s">
        <v>14</v>
      </c>
      <c r="E718" s="8" t="s">
        <v>306</v>
      </c>
      <c r="F718" s="8"/>
      <c r="G718" s="60">
        <f>G719</f>
        <v>0</v>
      </c>
      <c r="H718" s="3"/>
      <c r="I718" s="60">
        <f>I719</f>
        <v>65000</v>
      </c>
      <c r="J718" s="3">
        <v>0</v>
      </c>
      <c r="K718" s="60">
        <f>K719</f>
        <v>65000</v>
      </c>
      <c r="L718" s="133"/>
      <c r="M718" s="60">
        <f>M719</f>
        <v>65000</v>
      </c>
      <c r="N718" s="133"/>
      <c r="O718" s="60">
        <f>O719</f>
        <v>65000</v>
      </c>
      <c r="P718" s="133"/>
      <c r="Q718" s="60">
        <f>Q719</f>
        <v>65000</v>
      </c>
    </row>
    <row r="719" spans="2:17" ht="15.75">
      <c r="B719" s="31" t="s">
        <v>334</v>
      </c>
      <c r="C719" s="4"/>
      <c r="D719" s="46" t="s">
        <v>14</v>
      </c>
      <c r="E719" s="8" t="s">
        <v>306</v>
      </c>
      <c r="F719" s="97" t="s">
        <v>335</v>
      </c>
      <c r="G719" s="60">
        <v>0</v>
      </c>
      <c r="H719" s="3">
        <f>39000+26000</f>
        <v>65000</v>
      </c>
      <c r="I719" s="60">
        <f>G719+H719</f>
        <v>65000</v>
      </c>
      <c r="J719" s="3">
        <v>0</v>
      </c>
      <c r="K719" s="60">
        <f>I719+J719</f>
        <v>65000</v>
      </c>
      <c r="L719" s="133"/>
      <c r="M719" s="60">
        <f>K719+L719</f>
        <v>65000</v>
      </c>
      <c r="N719" s="133"/>
      <c r="O719" s="60">
        <f>M719+N719</f>
        <v>65000</v>
      </c>
      <c r="P719" s="133"/>
      <c r="Q719" s="60">
        <f>O719+P719</f>
        <v>65000</v>
      </c>
    </row>
    <row r="720" spans="2:17" ht="33.75" customHeight="1">
      <c r="B720" s="31" t="s">
        <v>276</v>
      </c>
      <c r="C720" s="8" t="s">
        <v>200</v>
      </c>
      <c r="D720" s="8" t="s">
        <v>277</v>
      </c>
      <c r="E720" s="8"/>
      <c r="F720" s="8"/>
      <c r="G720" s="60" t="e">
        <f>G721</f>
        <v>#REF!</v>
      </c>
      <c r="H720" s="3"/>
      <c r="I720" s="60">
        <f>I721</f>
        <v>696000</v>
      </c>
      <c r="J720" s="3"/>
      <c r="K720" s="60">
        <f>K721</f>
        <v>696000</v>
      </c>
      <c r="L720" s="133"/>
      <c r="M720" s="60">
        <f>M721</f>
        <v>696000</v>
      </c>
      <c r="N720" s="133"/>
      <c r="O720" s="60">
        <f>O721</f>
        <v>696000</v>
      </c>
      <c r="P720" s="133"/>
      <c r="Q720" s="60">
        <f>Q721</f>
        <v>696000</v>
      </c>
    </row>
    <row r="721" spans="2:17" ht="19.5" customHeight="1">
      <c r="B721" s="31" t="s">
        <v>278</v>
      </c>
      <c r="C721" s="8" t="s">
        <v>200</v>
      </c>
      <c r="D721" s="8" t="s">
        <v>277</v>
      </c>
      <c r="E721" s="8" t="s">
        <v>279</v>
      </c>
      <c r="F721" s="8"/>
      <c r="G721" s="60" t="e">
        <f>G722+#REF!</f>
        <v>#REF!</v>
      </c>
      <c r="H721" s="3"/>
      <c r="I721" s="60">
        <f>I722</f>
        <v>696000</v>
      </c>
      <c r="J721" s="3"/>
      <c r="K721" s="60">
        <f>K722</f>
        <v>696000</v>
      </c>
      <c r="L721" s="133"/>
      <c r="M721" s="60">
        <f>M722</f>
        <v>696000</v>
      </c>
      <c r="N721" s="133"/>
      <c r="O721" s="60">
        <f>O722</f>
        <v>696000</v>
      </c>
      <c r="P721" s="133"/>
      <c r="Q721" s="60">
        <f>Q722</f>
        <v>696000</v>
      </c>
    </row>
    <row r="722" spans="2:17" ht="33.75" customHeight="1">
      <c r="B722" s="31" t="s">
        <v>280</v>
      </c>
      <c r="C722" s="8" t="s">
        <v>200</v>
      </c>
      <c r="D722" s="8" t="s">
        <v>277</v>
      </c>
      <c r="E722" s="8" t="s">
        <v>281</v>
      </c>
      <c r="F722" s="8"/>
      <c r="G722" s="60">
        <f>G723</f>
        <v>0</v>
      </c>
      <c r="H722" s="3"/>
      <c r="I722" s="60">
        <f>I723</f>
        <v>696000</v>
      </c>
      <c r="J722" s="3"/>
      <c r="K722" s="60">
        <f>K723</f>
        <v>696000</v>
      </c>
      <c r="L722" s="133"/>
      <c r="M722" s="60">
        <f>M723</f>
        <v>696000</v>
      </c>
      <c r="N722" s="133"/>
      <c r="O722" s="60">
        <f>O723</f>
        <v>696000</v>
      </c>
      <c r="P722" s="133"/>
      <c r="Q722" s="60">
        <f>Q723</f>
        <v>696000</v>
      </c>
    </row>
    <row r="723" spans="2:17" ht="18" customHeight="1">
      <c r="B723" s="31" t="s">
        <v>334</v>
      </c>
      <c r="C723" s="8" t="s">
        <v>200</v>
      </c>
      <c r="D723" s="8" t="s">
        <v>277</v>
      </c>
      <c r="E723" s="8" t="s">
        <v>281</v>
      </c>
      <c r="F723" s="8" t="s">
        <v>335</v>
      </c>
      <c r="G723" s="60">
        <v>0</v>
      </c>
      <c r="H723" s="3">
        <v>696000</v>
      </c>
      <c r="I723" s="60">
        <f>G723+H723</f>
        <v>696000</v>
      </c>
      <c r="J723" s="3">
        <v>0</v>
      </c>
      <c r="K723" s="60">
        <f>I723+J723</f>
        <v>696000</v>
      </c>
      <c r="L723" s="133"/>
      <c r="M723" s="60">
        <f>K723+L723</f>
        <v>696000</v>
      </c>
      <c r="N723" s="133"/>
      <c r="O723" s="60">
        <f>M723+N723</f>
        <v>696000</v>
      </c>
      <c r="P723" s="133"/>
      <c r="Q723" s="60">
        <f>O723+P723</f>
        <v>696000</v>
      </c>
    </row>
    <row r="724" spans="2:17" ht="16.5" customHeight="1">
      <c r="B724" s="23" t="s">
        <v>307</v>
      </c>
      <c r="C724" s="46" t="s">
        <v>200</v>
      </c>
      <c r="D724" s="46" t="s">
        <v>148</v>
      </c>
      <c r="E724" s="46" t="s">
        <v>308</v>
      </c>
      <c r="F724" s="80"/>
      <c r="G724" s="60">
        <f>G725</f>
        <v>0</v>
      </c>
      <c r="H724" s="40"/>
      <c r="I724" s="60">
        <f>I725</f>
        <v>400000</v>
      </c>
      <c r="J724" s="40"/>
      <c r="K724" s="60">
        <f>K725</f>
        <v>400000</v>
      </c>
      <c r="L724" s="135"/>
      <c r="M724" s="60">
        <f>M725</f>
        <v>200000</v>
      </c>
      <c r="N724" s="135"/>
      <c r="O724" s="60">
        <f>O725</f>
        <v>200000</v>
      </c>
      <c r="P724" s="135"/>
      <c r="Q724" s="60">
        <f>Q725</f>
        <v>200000</v>
      </c>
    </row>
    <row r="725" spans="2:17" ht="16.5" customHeight="1">
      <c r="B725" s="81" t="s">
        <v>309</v>
      </c>
      <c r="C725" s="44" t="s">
        <v>200</v>
      </c>
      <c r="D725" s="46" t="s">
        <v>148</v>
      </c>
      <c r="E725" s="46" t="s">
        <v>308</v>
      </c>
      <c r="F725" s="44"/>
      <c r="G725" s="60">
        <f>G726</f>
        <v>0</v>
      </c>
      <c r="H725" s="40"/>
      <c r="I725" s="60">
        <f>I726</f>
        <v>400000</v>
      </c>
      <c r="J725" s="40"/>
      <c r="K725" s="60">
        <f>K726</f>
        <v>400000</v>
      </c>
      <c r="L725" s="135"/>
      <c r="M725" s="60">
        <f>M726</f>
        <v>200000</v>
      </c>
      <c r="N725" s="135"/>
      <c r="O725" s="60">
        <f>O726</f>
        <v>200000</v>
      </c>
      <c r="P725" s="135"/>
      <c r="Q725" s="60">
        <f>Q726</f>
        <v>200000</v>
      </c>
    </row>
    <row r="726" spans="2:17" ht="17.25" customHeight="1">
      <c r="B726" s="23" t="s">
        <v>307</v>
      </c>
      <c r="C726" s="44" t="s">
        <v>200</v>
      </c>
      <c r="D726" s="46" t="s">
        <v>148</v>
      </c>
      <c r="E726" s="46" t="s">
        <v>308</v>
      </c>
      <c r="F726" s="44" t="s">
        <v>357</v>
      </c>
      <c r="G726" s="60">
        <v>0</v>
      </c>
      <c r="H726" s="40">
        <v>400000</v>
      </c>
      <c r="I726" s="60">
        <f>G726+H726</f>
        <v>400000</v>
      </c>
      <c r="J726" s="40">
        <v>0</v>
      </c>
      <c r="K726" s="60">
        <f>I726+J726</f>
        <v>400000</v>
      </c>
      <c r="L726" s="135">
        <v>-200000</v>
      </c>
      <c r="M726" s="60">
        <f>K726+L726</f>
        <v>200000</v>
      </c>
      <c r="N726" s="135">
        <v>0</v>
      </c>
      <c r="O726" s="60">
        <f>M726+N726</f>
        <v>200000</v>
      </c>
      <c r="P726" s="135"/>
      <c r="Q726" s="60">
        <f>O726+P726</f>
        <v>200000</v>
      </c>
    </row>
    <row r="727" spans="2:17" ht="18.75" customHeight="1">
      <c r="B727" s="7" t="s">
        <v>18</v>
      </c>
      <c r="C727" s="5"/>
      <c r="D727" s="46" t="s">
        <v>219</v>
      </c>
      <c r="E727" s="8"/>
      <c r="F727" s="8"/>
      <c r="G727" s="60">
        <f>G728+G736+G766+G760+G734</f>
        <v>0</v>
      </c>
      <c r="H727" s="3"/>
      <c r="I727" s="60">
        <f>I728+I736++I760+I734+I765</f>
        <v>39210000</v>
      </c>
      <c r="J727" s="3"/>
      <c r="K727" s="60">
        <f>K728+K736++K760+K734+K765</f>
        <v>29385100</v>
      </c>
      <c r="L727" s="133"/>
      <c r="M727" s="60">
        <f>M728+M736++M760+M734+M765</f>
        <v>29533294</v>
      </c>
      <c r="N727" s="133"/>
      <c r="O727" s="60">
        <f>O728+O736++O760+O734+O765</f>
        <v>34442131.02</v>
      </c>
      <c r="P727" s="133"/>
      <c r="Q727" s="60">
        <f>Q728+Q736++Q760+Q734+Q765</f>
        <v>45704557.02</v>
      </c>
    </row>
    <row r="728" spans="2:17" ht="63">
      <c r="B728" s="7" t="s">
        <v>137</v>
      </c>
      <c r="C728" s="4"/>
      <c r="D728" s="46" t="s">
        <v>219</v>
      </c>
      <c r="E728" s="4" t="s">
        <v>119</v>
      </c>
      <c r="F728" s="4"/>
      <c r="G728" s="60">
        <f>G729</f>
        <v>0</v>
      </c>
      <c r="H728" s="3"/>
      <c r="I728" s="60">
        <f>I729</f>
        <v>1271100</v>
      </c>
      <c r="J728" s="3"/>
      <c r="K728" s="60">
        <f>K729</f>
        <v>1271100</v>
      </c>
      <c r="L728" s="133"/>
      <c r="M728" s="60">
        <f>M729</f>
        <v>1228115</v>
      </c>
      <c r="N728" s="133"/>
      <c r="O728" s="60">
        <f>O729</f>
        <v>1228115</v>
      </c>
      <c r="P728" s="133"/>
      <c r="Q728" s="60">
        <f>Q729</f>
        <v>1228115</v>
      </c>
    </row>
    <row r="729" spans="2:17" ht="15.75">
      <c r="B729" s="7" t="s">
        <v>9</v>
      </c>
      <c r="C729" s="4"/>
      <c r="D729" s="46" t="s">
        <v>219</v>
      </c>
      <c r="E729" s="4" t="s">
        <v>120</v>
      </c>
      <c r="F729" s="4"/>
      <c r="G729" s="60">
        <f>G730+G731+G732+G733</f>
        <v>0</v>
      </c>
      <c r="H729" s="3"/>
      <c r="I729" s="60">
        <f>I730+I731+I732+I733</f>
        <v>1271100</v>
      </c>
      <c r="J729" s="3"/>
      <c r="K729" s="60">
        <f>K730+K731+K732+K733</f>
        <v>1271100</v>
      </c>
      <c r="L729" s="133"/>
      <c r="M729" s="60">
        <f>M730+M731+M732+M733</f>
        <v>1228115</v>
      </c>
      <c r="N729" s="133"/>
      <c r="O729" s="60">
        <f>O730+O731+O732+O733</f>
        <v>1228115</v>
      </c>
      <c r="P729" s="133"/>
      <c r="Q729" s="60">
        <f>Q730+Q731+Q732+Q733</f>
        <v>1228115</v>
      </c>
    </row>
    <row r="730" spans="2:17" ht="20.25" customHeight="1">
      <c r="B730" s="31" t="s">
        <v>320</v>
      </c>
      <c r="C730" s="8" t="s">
        <v>192</v>
      </c>
      <c r="D730" s="8" t="s">
        <v>219</v>
      </c>
      <c r="E730" s="8" t="s">
        <v>120</v>
      </c>
      <c r="F730" s="8" t="s">
        <v>353</v>
      </c>
      <c r="G730" s="79">
        <v>0</v>
      </c>
      <c r="H730" s="3">
        <v>1143198</v>
      </c>
      <c r="I730" s="79">
        <f>G730+H730</f>
        <v>1143198</v>
      </c>
      <c r="J730" s="3">
        <v>-3816</v>
      </c>
      <c r="K730" s="79">
        <f>I730+J730</f>
        <v>1139382</v>
      </c>
      <c r="L730" s="133">
        <v>-42985</v>
      </c>
      <c r="M730" s="79">
        <f>K730+L730</f>
        <v>1096397</v>
      </c>
      <c r="N730" s="133">
        <v>0</v>
      </c>
      <c r="O730" s="79">
        <f>M730+N730</f>
        <v>1096397</v>
      </c>
      <c r="P730" s="133"/>
      <c r="Q730" s="79">
        <f>O730+P730</f>
        <v>1096397</v>
      </c>
    </row>
    <row r="731" spans="2:17" ht="32.25" customHeight="1">
      <c r="B731" s="31" t="s">
        <v>321</v>
      </c>
      <c r="C731" s="8" t="s">
        <v>192</v>
      </c>
      <c r="D731" s="8" t="s">
        <v>219</v>
      </c>
      <c r="E731" s="8" t="s">
        <v>120</v>
      </c>
      <c r="F731" s="8" t="s">
        <v>354</v>
      </c>
      <c r="G731" s="79">
        <v>0</v>
      </c>
      <c r="H731" s="3">
        <v>3500</v>
      </c>
      <c r="I731" s="79">
        <f>G731+H731</f>
        <v>3500</v>
      </c>
      <c r="J731" s="3">
        <v>0</v>
      </c>
      <c r="K731" s="79">
        <f>I731+J731</f>
        <v>3500</v>
      </c>
      <c r="L731" s="133"/>
      <c r="M731" s="79">
        <f>K731+L731</f>
        <v>3500</v>
      </c>
      <c r="N731" s="133"/>
      <c r="O731" s="79">
        <f>M731+N731</f>
        <v>3500</v>
      </c>
      <c r="P731" s="133"/>
      <c r="Q731" s="79">
        <f>O731+P731</f>
        <v>3500</v>
      </c>
    </row>
    <row r="732" spans="2:17" ht="47.25">
      <c r="B732" s="31" t="s">
        <v>322</v>
      </c>
      <c r="C732" s="8" t="s">
        <v>192</v>
      </c>
      <c r="D732" s="8" t="s">
        <v>219</v>
      </c>
      <c r="E732" s="8" t="s">
        <v>120</v>
      </c>
      <c r="F732" s="8" t="s">
        <v>327</v>
      </c>
      <c r="G732" s="79">
        <v>0</v>
      </c>
      <c r="H732" s="3">
        <v>89500</v>
      </c>
      <c r="I732" s="79">
        <f>G732+H732</f>
        <v>89500</v>
      </c>
      <c r="J732" s="3">
        <v>0</v>
      </c>
      <c r="K732" s="79">
        <f>I732+J732</f>
        <v>89500</v>
      </c>
      <c r="L732" s="133">
        <v>-1800</v>
      </c>
      <c r="M732" s="79">
        <f>K732+L732</f>
        <v>87700</v>
      </c>
      <c r="N732" s="133">
        <v>0</v>
      </c>
      <c r="O732" s="79">
        <f>M732+N732</f>
        <v>87700</v>
      </c>
      <c r="P732" s="133"/>
      <c r="Q732" s="79">
        <f>O732+P732</f>
        <v>87700</v>
      </c>
    </row>
    <row r="733" spans="2:17" ht="33.75" customHeight="1">
      <c r="B733" s="30" t="s">
        <v>382</v>
      </c>
      <c r="C733" s="8" t="s">
        <v>192</v>
      </c>
      <c r="D733" s="8" t="s">
        <v>219</v>
      </c>
      <c r="E733" s="8" t="s">
        <v>120</v>
      </c>
      <c r="F733" s="8" t="s">
        <v>328</v>
      </c>
      <c r="G733" s="79">
        <v>0</v>
      </c>
      <c r="H733" s="3">
        <v>34902</v>
      </c>
      <c r="I733" s="79">
        <f>G733+H733</f>
        <v>34902</v>
      </c>
      <c r="J733" s="3">
        <v>3816</v>
      </c>
      <c r="K733" s="79">
        <f>I733+J733</f>
        <v>38718</v>
      </c>
      <c r="L733" s="133">
        <v>1800</v>
      </c>
      <c r="M733" s="79">
        <f>K733+L733</f>
        <v>40518</v>
      </c>
      <c r="N733" s="133">
        <v>0</v>
      </c>
      <c r="O733" s="79">
        <f>M733+N733</f>
        <v>40518</v>
      </c>
      <c r="P733" s="133"/>
      <c r="Q733" s="79">
        <f>O733+P733</f>
        <v>40518</v>
      </c>
    </row>
    <row r="734" spans="2:17" ht="0.75" customHeight="1" hidden="1">
      <c r="B734" s="81" t="s">
        <v>309</v>
      </c>
      <c r="C734" s="5"/>
      <c r="D734" s="46" t="s">
        <v>219</v>
      </c>
      <c r="E734" s="8" t="s">
        <v>308</v>
      </c>
      <c r="F734" s="8"/>
      <c r="G734" s="79">
        <f>G735</f>
        <v>0</v>
      </c>
      <c r="H734" s="3"/>
      <c r="I734" s="79">
        <f>I735</f>
        <v>0</v>
      </c>
      <c r="J734" s="3"/>
      <c r="K734" s="79">
        <f>K735</f>
        <v>0</v>
      </c>
      <c r="L734" s="133"/>
      <c r="M734" s="79">
        <f>M735</f>
        <v>0</v>
      </c>
      <c r="N734" s="133"/>
      <c r="O734" s="79">
        <f>O735</f>
        <v>0</v>
      </c>
      <c r="P734" s="133"/>
      <c r="Q734" s="79">
        <f>Q735</f>
        <v>0</v>
      </c>
    </row>
    <row r="735" spans="2:17" ht="21" customHeight="1" hidden="1">
      <c r="B735" s="90" t="s">
        <v>334</v>
      </c>
      <c r="C735" s="5"/>
      <c r="D735" s="46" t="s">
        <v>219</v>
      </c>
      <c r="E735" s="8" t="s">
        <v>308</v>
      </c>
      <c r="F735" s="8" t="s">
        <v>335</v>
      </c>
      <c r="G735" s="79">
        <v>0</v>
      </c>
      <c r="H735" s="3">
        <v>0</v>
      </c>
      <c r="I735" s="79">
        <f>G735+H735</f>
        <v>0</v>
      </c>
      <c r="J735" s="3">
        <v>0</v>
      </c>
      <c r="K735" s="79">
        <f>I735+J735</f>
        <v>0</v>
      </c>
      <c r="L735" s="133"/>
      <c r="M735" s="79">
        <f>K735+L735</f>
        <v>0</v>
      </c>
      <c r="N735" s="133"/>
      <c r="O735" s="79">
        <f>M735+N735</f>
        <v>0</v>
      </c>
      <c r="P735" s="133"/>
      <c r="Q735" s="79">
        <f>O735+P735</f>
        <v>0</v>
      </c>
    </row>
    <row r="736" spans="2:17" ht="51.75" customHeight="1">
      <c r="B736" s="7" t="s">
        <v>151</v>
      </c>
      <c r="C736" s="7"/>
      <c r="D736" s="46" t="s">
        <v>219</v>
      </c>
      <c r="E736" s="4" t="s">
        <v>19</v>
      </c>
      <c r="F736" s="4"/>
      <c r="G736" s="60">
        <f>G742+G755+G737+G740</f>
        <v>0</v>
      </c>
      <c r="H736" s="3"/>
      <c r="I736" s="60">
        <f>I742+I755+I737+I740</f>
        <v>36952900</v>
      </c>
      <c r="J736" s="3">
        <v>0</v>
      </c>
      <c r="K736" s="60">
        <f>K742+K755+K737+K740</f>
        <v>27028000</v>
      </c>
      <c r="L736" s="133"/>
      <c r="M736" s="60">
        <f>M742+M755+M737+M740</f>
        <v>27219179</v>
      </c>
      <c r="N736" s="133"/>
      <c r="O736" s="60">
        <f>O742+O755+O737+O740</f>
        <v>32098016.020000003</v>
      </c>
      <c r="P736" s="133"/>
      <c r="Q736" s="60">
        <f>Q742+Q755+Q737+Q740</f>
        <v>43460442.02</v>
      </c>
    </row>
    <row r="737" spans="2:17" ht="47.25">
      <c r="B737" s="31" t="s">
        <v>424</v>
      </c>
      <c r="C737" s="8"/>
      <c r="D737" s="8" t="s">
        <v>219</v>
      </c>
      <c r="E737" s="8" t="s">
        <v>427</v>
      </c>
      <c r="F737" s="8"/>
      <c r="G737" s="60">
        <f>G738+G739</f>
        <v>0</v>
      </c>
      <c r="H737" s="3"/>
      <c r="I737" s="60">
        <f>I738+I739</f>
        <v>208000</v>
      </c>
      <c r="J737" s="3"/>
      <c r="K737" s="60">
        <f>K738+K739</f>
        <v>647000</v>
      </c>
      <c r="L737" s="133"/>
      <c r="M737" s="60">
        <f>M738+M739</f>
        <v>268000</v>
      </c>
      <c r="N737" s="133"/>
      <c r="O737" s="60">
        <f>O738+O739</f>
        <v>268000</v>
      </c>
      <c r="P737" s="133"/>
      <c r="Q737" s="60">
        <f>Q738+Q739</f>
        <v>268000</v>
      </c>
    </row>
    <row r="738" spans="2:17" ht="37.5" customHeight="1" hidden="1">
      <c r="B738" s="30" t="s">
        <v>332</v>
      </c>
      <c r="C738" s="8"/>
      <c r="D738" s="8" t="s">
        <v>219</v>
      </c>
      <c r="E738" s="8" t="s">
        <v>427</v>
      </c>
      <c r="F738" s="8" t="s">
        <v>331</v>
      </c>
      <c r="G738" s="60">
        <v>0</v>
      </c>
      <c r="H738" s="3">
        <v>0</v>
      </c>
      <c r="I738" s="60">
        <f>G738+H738</f>
        <v>0</v>
      </c>
      <c r="J738" s="3">
        <v>0</v>
      </c>
      <c r="K738" s="60">
        <f>I738+J738</f>
        <v>0</v>
      </c>
      <c r="L738" s="133"/>
      <c r="M738" s="60">
        <f>K738+L738</f>
        <v>0</v>
      </c>
      <c r="N738" s="133"/>
      <c r="O738" s="60">
        <f>M738+N738</f>
        <v>0</v>
      </c>
      <c r="P738" s="133"/>
      <c r="Q738" s="60">
        <f>O738+P738</f>
        <v>0</v>
      </c>
    </row>
    <row r="739" spans="2:17" ht="36.75" customHeight="1">
      <c r="B739" s="31" t="s">
        <v>382</v>
      </c>
      <c r="C739" s="8"/>
      <c r="D739" s="8" t="s">
        <v>219</v>
      </c>
      <c r="E739" s="8" t="s">
        <v>427</v>
      </c>
      <c r="F739" s="8" t="s">
        <v>328</v>
      </c>
      <c r="G739" s="60">
        <v>0</v>
      </c>
      <c r="H739" s="3">
        <v>208000</v>
      </c>
      <c r="I739" s="60">
        <f>G739+H739</f>
        <v>208000</v>
      </c>
      <c r="J739" s="3">
        <v>439000</v>
      </c>
      <c r="K739" s="60">
        <f>I739+J739</f>
        <v>647000</v>
      </c>
      <c r="L739" s="133">
        <v>-379000</v>
      </c>
      <c r="M739" s="60">
        <f>K739+L739</f>
        <v>268000</v>
      </c>
      <c r="N739" s="133">
        <v>0</v>
      </c>
      <c r="O739" s="60">
        <f>M739+N739</f>
        <v>268000</v>
      </c>
      <c r="P739" s="133"/>
      <c r="Q739" s="60">
        <f>O739+P739</f>
        <v>268000</v>
      </c>
    </row>
    <row r="740" spans="2:17" ht="33" customHeight="1">
      <c r="B740" s="96" t="s">
        <v>442</v>
      </c>
      <c r="C740" s="8"/>
      <c r="D740" s="97" t="s">
        <v>219</v>
      </c>
      <c r="E740" s="97" t="s">
        <v>443</v>
      </c>
      <c r="F740" s="8"/>
      <c r="G740" s="79">
        <f>G741</f>
        <v>0</v>
      </c>
      <c r="H740" s="3"/>
      <c r="I740" s="79">
        <f>I741</f>
        <v>0</v>
      </c>
      <c r="J740" s="3"/>
      <c r="K740" s="79">
        <f>K741</f>
        <v>3720000</v>
      </c>
      <c r="L740" s="133"/>
      <c r="M740" s="79">
        <f>M741</f>
        <v>3720000</v>
      </c>
      <c r="N740" s="133"/>
      <c r="O740" s="79">
        <f>O741</f>
        <v>3720000</v>
      </c>
      <c r="P740" s="133"/>
      <c r="Q740" s="79">
        <f>Q741</f>
        <v>3720000</v>
      </c>
    </row>
    <row r="741" spans="2:17" ht="47.25">
      <c r="B741" s="96" t="s">
        <v>384</v>
      </c>
      <c r="C741" s="8"/>
      <c r="D741" s="97" t="s">
        <v>219</v>
      </c>
      <c r="E741" s="97" t="s">
        <v>443</v>
      </c>
      <c r="F741" s="97" t="s">
        <v>383</v>
      </c>
      <c r="G741" s="79">
        <v>0</v>
      </c>
      <c r="H741" s="3">
        <v>0</v>
      </c>
      <c r="I741" s="79">
        <f>G741+H741</f>
        <v>0</v>
      </c>
      <c r="J741" s="3">
        <v>3720000</v>
      </c>
      <c r="K741" s="79">
        <f>I741+J741</f>
        <v>3720000</v>
      </c>
      <c r="L741" s="133"/>
      <c r="M741" s="79">
        <f>K741+L741</f>
        <v>3720000</v>
      </c>
      <c r="N741" s="133"/>
      <c r="O741" s="79">
        <f>M741+N741</f>
        <v>3720000</v>
      </c>
      <c r="P741" s="133"/>
      <c r="Q741" s="79">
        <f>O741+P741</f>
        <v>3720000</v>
      </c>
    </row>
    <row r="742" spans="2:17" ht="47.25">
      <c r="B742" s="7" t="s">
        <v>152</v>
      </c>
      <c r="C742" s="7"/>
      <c r="D742" s="46" t="s">
        <v>219</v>
      </c>
      <c r="E742" s="4" t="s">
        <v>20</v>
      </c>
      <c r="F742" s="4"/>
      <c r="G742" s="60">
        <f>G746+G743</f>
        <v>0</v>
      </c>
      <c r="H742" s="3"/>
      <c r="I742" s="60">
        <f>I746+I743</f>
        <v>22870900</v>
      </c>
      <c r="J742" s="3"/>
      <c r="K742" s="60">
        <f>K746+K743</f>
        <v>8787000</v>
      </c>
      <c r="L742" s="133"/>
      <c r="M742" s="60">
        <f>M746+M743</f>
        <v>9357179</v>
      </c>
      <c r="N742" s="133"/>
      <c r="O742" s="60">
        <f>O746+O743</f>
        <v>14217897.48</v>
      </c>
      <c r="P742" s="133"/>
      <c r="Q742" s="60">
        <f>Q746+Q743</f>
        <v>25580323.48</v>
      </c>
    </row>
    <row r="743" spans="2:17" ht="33.75" customHeight="1">
      <c r="B743" s="62" t="s">
        <v>245</v>
      </c>
      <c r="C743" s="7"/>
      <c r="D743" s="46" t="s">
        <v>219</v>
      </c>
      <c r="E743" s="4" t="s">
        <v>246</v>
      </c>
      <c r="F743" s="4"/>
      <c r="G743" s="60">
        <f>G744+G745</f>
        <v>0</v>
      </c>
      <c r="H743" s="3"/>
      <c r="I743" s="60">
        <f>I744+I745</f>
        <v>22066900</v>
      </c>
      <c r="J743" s="3"/>
      <c r="K743" s="60">
        <f>K744+K745</f>
        <v>7543000</v>
      </c>
      <c r="L743" s="133"/>
      <c r="M743" s="60">
        <f>M744+M745</f>
        <v>7672000</v>
      </c>
      <c r="N743" s="133"/>
      <c r="O743" s="60">
        <f>O744+O745</f>
        <v>12434033</v>
      </c>
      <c r="P743" s="133"/>
      <c r="Q743" s="60">
        <f>Q744+Q745</f>
        <v>23794732</v>
      </c>
    </row>
    <row r="744" spans="2:17" ht="33" customHeight="1">
      <c r="B744" s="175" t="s">
        <v>245</v>
      </c>
      <c r="C744" s="7"/>
      <c r="D744" s="46" t="s">
        <v>219</v>
      </c>
      <c r="E744" s="4" t="s">
        <v>246</v>
      </c>
      <c r="F744" s="4" t="s">
        <v>358</v>
      </c>
      <c r="G744" s="60">
        <v>0</v>
      </c>
      <c r="H744" s="3">
        <v>2066900</v>
      </c>
      <c r="I744" s="60">
        <v>22066900</v>
      </c>
      <c r="J744" s="3">
        <v>-14523900</v>
      </c>
      <c r="K744" s="60">
        <f>I744+J744</f>
        <v>7543000</v>
      </c>
      <c r="L744" s="133">
        <v>129000</v>
      </c>
      <c r="M744" s="60">
        <f>K744+L744</f>
        <v>7672000</v>
      </c>
      <c r="N744" s="133">
        <f>4757064+4969</f>
        <v>4762033</v>
      </c>
      <c r="O744" s="60">
        <f>M744+N744</f>
        <v>12434033</v>
      </c>
      <c r="P744" s="133">
        <f>1846564+9514135</f>
        <v>11360699</v>
      </c>
      <c r="Q744" s="60">
        <f>O744+P744</f>
        <v>23794732</v>
      </c>
    </row>
    <row r="745" spans="2:17" ht="21" customHeight="1" hidden="1">
      <c r="B745" s="32" t="s">
        <v>355</v>
      </c>
      <c r="C745" s="7"/>
      <c r="D745" s="46" t="s">
        <v>219</v>
      </c>
      <c r="E745" s="4" t="s">
        <v>246</v>
      </c>
      <c r="F745" s="4" t="s">
        <v>329</v>
      </c>
      <c r="G745" s="60">
        <v>0</v>
      </c>
      <c r="H745" s="3">
        <v>0</v>
      </c>
      <c r="I745" s="60">
        <f>G745+H745</f>
        <v>0</v>
      </c>
      <c r="J745" s="3">
        <v>0</v>
      </c>
      <c r="K745" s="60">
        <f>I745+J745</f>
        <v>0</v>
      </c>
      <c r="L745" s="133"/>
      <c r="M745" s="60">
        <f>K745+L745</f>
        <v>0</v>
      </c>
      <c r="N745" s="133"/>
      <c r="O745" s="60">
        <f>M745+N745</f>
        <v>0</v>
      </c>
      <c r="P745" s="133"/>
      <c r="Q745" s="60">
        <f>O745+P745</f>
        <v>0</v>
      </c>
    </row>
    <row r="746" spans="2:17" ht="16.5" customHeight="1">
      <c r="B746" s="7" t="s">
        <v>21</v>
      </c>
      <c r="C746" s="4"/>
      <c r="D746" s="46" t="s">
        <v>219</v>
      </c>
      <c r="E746" s="4" t="s">
        <v>153</v>
      </c>
      <c r="F746" s="4"/>
      <c r="G746" s="60">
        <f>G747+G752+G750+G749+G754</f>
        <v>0</v>
      </c>
      <c r="H746" s="3"/>
      <c r="I746" s="60">
        <f>I747+I752+I750+I749+I754</f>
        <v>804000</v>
      </c>
      <c r="J746" s="3"/>
      <c r="K746" s="60">
        <f>K747+K752+K750+K749+K754+K751</f>
        <v>1244000</v>
      </c>
      <c r="L746" s="133"/>
      <c r="M746" s="60">
        <f>M747+M752+M750+M749+M754+M751</f>
        <v>1685179</v>
      </c>
      <c r="N746" s="133"/>
      <c r="O746" s="60">
        <f>O747+O752+O750+O749+O754+O751+O753</f>
        <v>1783864.48</v>
      </c>
      <c r="P746" s="133"/>
      <c r="Q746" s="60">
        <f>Q747+Q752+Q750+Q749+Q754+Q751+Q753</f>
        <v>1785591.48</v>
      </c>
    </row>
    <row r="747" spans="2:17" ht="19.5" customHeight="1" hidden="1">
      <c r="B747" s="105" t="s">
        <v>470</v>
      </c>
      <c r="C747" s="4"/>
      <c r="D747" s="46" t="s">
        <v>219</v>
      </c>
      <c r="E747" s="4" t="s">
        <v>218</v>
      </c>
      <c r="F747" s="4"/>
      <c r="G747" s="60">
        <f>G748</f>
        <v>0</v>
      </c>
      <c r="H747" s="3"/>
      <c r="I747" s="60">
        <f>I748</f>
        <v>0</v>
      </c>
      <c r="J747" s="3"/>
      <c r="K747" s="60">
        <f>K748</f>
        <v>0</v>
      </c>
      <c r="L747" s="133"/>
      <c r="M747" s="60">
        <f>M748</f>
        <v>0</v>
      </c>
      <c r="N747" s="133"/>
      <c r="O747" s="60">
        <f>O748</f>
        <v>0</v>
      </c>
      <c r="P747" s="133"/>
      <c r="Q747" s="60">
        <f>Q748</f>
        <v>0</v>
      </c>
    </row>
    <row r="748" spans="2:17" ht="21.75" customHeight="1" hidden="1">
      <c r="B748" s="105" t="s">
        <v>468</v>
      </c>
      <c r="C748" s="4"/>
      <c r="D748" s="46" t="s">
        <v>219</v>
      </c>
      <c r="E748" s="4" t="s">
        <v>218</v>
      </c>
      <c r="F748" s="102" t="s">
        <v>467</v>
      </c>
      <c r="G748" s="60">
        <v>0</v>
      </c>
      <c r="H748" s="3">
        <v>20000000</v>
      </c>
      <c r="I748" s="60">
        <v>0</v>
      </c>
      <c r="J748" s="3">
        <v>0</v>
      </c>
      <c r="K748" s="60">
        <f aca="true" t="shared" si="39" ref="K748:K754">I748+J748</f>
        <v>0</v>
      </c>
      <c r="L748" s="133"/>
      <c r="M748" s="60">
        <f aca="true" t="shared" si="40" ref="M748:O754">K748+L748</f>
        <v>0</v>
      </c>
      <c r="N748" s="133"/>
      <c r="O748" s="60">
        <f t="shared" si="40"/>
        <v>0</v>
      </c>
      <c r="P748" s="133"/>
      <c r="Q748" s="60">
        <f aca="true" t="shared" si="41" ref="Q748:Q754">O748+P748</f>
        <v>0</v>
      </c>
    </row>
    <row r="749" spans="2:17" ht="30.75" customHeight="1" hidden="1">
      <c r="B749" s="31" t="s">
        <v>321</v>
      </c>
      <c r="C749" s="4" t="s">
        <v>192</v>
      </c>
      <c r="D749" s="46" t="s">
        <v>219</v>
      </c>
      <c r="E749" s="4" t="s">
        <v>178</v>
      </c>
      <c r="F749" s="4" t="s">
        <v>354</v>
      </c>
      <c r="G749" s="60">
        <v>0</v>
      </c>
      <c r="H749" s="3">
        <v>0</v>
      </c>
      <c r="I749" s="60">
        <f>G749+H749</f>
        <v>0</v>
      </c>
      <c r="J749" s="3">
        <v>0</v>
      </c>
      <c r="K749" s="60">
        <f t="shared" si="39"/>
        <v>0</v>
      </c>
      <c r="L749" s="133"/>
      <c r="M749" s="60">
        <f t="shared" si="40"/>
        <v>0</v>
      </c>
      <c r="N749" s="133"/>
      <c r="O749" s="60">
        <f t="shared" si="40"/>
        <v>0</v>
      </c>
      <c r="P749" s="133"/>
      <c r="Q749" s="60">
        <f t="shared" si="41"/>
        <v>0</v>
      </c>
    </row>
    <row r="750" spans="2:17" ht="36" customHeight="1" hidden="1">
      <c r="B750" s="31" t="s">
        <v>322</v>
      </c>
      <c r="C750" s="4"/>
      <c r="D750" s="46" t="s">
        <v>219</v>
      </c>
      <c r="E750" s="4" t="s">
        <v>178</v>
      </c>
      <c r="F750" s="4" t="s">
        <v>327</v>
      </c>
      <c r="G750" s="60">
        <v>0</v>
      </c>
      <c r="H750" s="3"/>
      <c r="I750" s="60">
        <f>G750+H750</f>
        <v>0</v>
      </c>
      <c r="J750" s="3"/>
      <c r="K750" s="60">
        <f t="shared" si="39"/>
        <v>0</v>
      </c>
      <c r="L750" s="133"/>
      <c r="M750" s="60">
        <f t="shared" si="40"/>
        <v>0</v>
      </c>
      <c r="N750" s="133"/>
      <c r="O750" s="60">
        <f t="shared" si="40"/>
        <v>0</v>
      </c>
      <c r="P750" s="133"/>
      <c r="Q750" s="60">
        <f t="shared" si="41"/>
        <v>0</v>
      </c>
    </row>
    <row r="751" spans="2:17" ht="35.25" customHeight="1">
      <c r="B751" s="96" t="s">
        <v>321</v>
      </c>
      <c r="C751" s="97" t="s">
        <v>200</v>
      </c>
      <c r="D751" s="97" t="s">
        <v>219</v>
      </c>
      <c r="E751" s="97" t="s">
        <v>178</v>
      </c>
      <c r="F751" s="97" t="s">
        <v>354</v>
      </c>
      <c r="G751" s="60"/>
      <c r="H751" s="3"/>
      <c r="I751" s="60"/>
      <c r="J751" s="3">
        <v>440000</v>
      </c>
      <c r="K751" s="60">
        <f t="shared" si="39"/>
        <v>440000</v>
      </c>
      <c r="L751" s="157">
        <f>33590+119088+215516+42985</f>
        <v>411179</v>
      </c>
      <c r="M751" s="60">
        <f t="shared" si="40"/>
        <v>851179</v>
      </c>
      <c r="N751" s="157">
        <v>-21314.52</v>
      </c>
      <c r="O751" s="60">
        <f t="shared" si="40"/>
        <v>829864.48</v>
      </c>
      <c r="P751" s="157">
        <f>8735.4-2804.75</f>
        <v>5930.65</v>
      </c>
      <c r="Q751" s="60">
        <f t="shared" si="41"/>
        <v>835795.13</v>
      </c>
    </row>
    <row r="752" spans="2:17" ht="31.5">
      <c r="B752" s="30" t="s">
        <v>382</v>
      </c>
      <c r="C752" s="4"/>
      <c r="D752" s="46" t="s">
        <v>219</v>
      </c>
      <c r="E752" s="4" t="s">
        <v>178</v>
      </c>
      <c r="F752" s="4" t="s">
        <v>328</v>
      </c>
      <c r="G752" s="60">
        <v>0</v>
      </c>
      <c r="H752" s="3">
        <v>633000</v>
      </c>
      <c r="I752" s="60">
        <f>G752+H752</f>
        <v>633000</v>
      </c>
      <c r="J752" s="3">
        <v>0</v>
      </c>
      <c r="K752" s="60">
        <f t="shared" si="39"/>
        <v>633000</v>
      </c>
      <c r="L752" s="133"/>
      <c r="M752" s="60">
        <f t="shared" si="40"/>
        <v>633000</v>
      </c>
      <c r="N752" s="133"/>
      <c r="O752" s="60">
        <f t="shared" si="40"/>
        <v>633000</v>
      </c>
      <c r="P752" s="133"/>
      <c r="Q752" s="60">
        <f t="shared" si="41"/>
        <v>633000</v>
      </c>
    </row>
    <row r="753" spans="2:17" ht="31.5" customHeight="1">
      <c r="B753" s="107" t="s">
        <v>245</v>
      </c>
      <c r="C753" s="4"/>
      <c r="D753" s="98" t="s">
        <v>219</v>
      </c>
      <c r="E753" s="102" t="s">
        <v>178</v>
      </c>
      <c r="F753" s="102" t="s">
        <v>358</v>
      </c>
      <c r="G753" s="60"/>
      <c r="H753" s="3"/>
      <c r="I753" s="60"/>
      <c r="J753" s="3"/>
      <c r="K753" s="60"/>
      <c r="L753" s="133"/>
      <c r="M753" s="60"/>
      <c r="N753" s="133">
        <v>8988.02</v>
      </c>
      <c r="O753" s="60">
        <f>M753+N753</f>
        <v>8988.02</v>
      </c>
      <c r="P753" s="133"/>
      <c r="Q753" s="60">
        <f t="shared" si="41"/>
        <v>8988.02</v>
      </c>
    </row>
    <row r="754" spans="2:17" ht="33" customHeight="1">
      <c r="B754" s="32" t="s">
        <v>355</v>
      </c>
      <c r="C754" s="4"/>
      <c r="D754" s="46" t="s">
        <v>219</v>
      </c>
      <c r="E754" s="4" t="s">
        <v>178</v>
      </c>
      <c r="F754" s="4" t="s">
        <v>329</v>
      </c>
      <c r="G754" s="60">
        <v>0</v>
      </c>
      <c r="H754" s="3">
        <v>171000</v>
      </c>
      <c r="I754" s="60">
        <f>G754+H754</f>
        <v>171000</v>
      </c>
      <c r="J754" s="3">
        <v>0</v>
      </c>
      <c r="K754" s="60">
        <f t="shared" si="39"/>
        <v>171000</v>
      </c>
      <c r="L754" s="133">
        <v>30000</v>
      </c>
      <c r="M754" s="60">
        <f t="shared" si="40"/>
        <v>201000</v>
      </c>
      <c r="N754" s="133">
        <f>-8988.02+100000+20000</f>
        <v>111011.98</v>
      </c>
      <c r="O754" s="60">
        <f t="shared" si="40"/>
        <v>312011.98</v>
      </c>
      <c r="P754" s="133">
        <f>200-4403.65</f>
        <v>-4203.65</v>
      </c>
      <c r="Q754" s="60">
        <f t="shared" si="41"/>
        <v>307808.32999999996</v>
      </c>
    </row>
    <row r="755" spans="2:17" ht="31.5">
      <c r="B755" s="7" t="s">
        <v>154</v>
      </c>
      <c r="C755" s="4"/>
      <c r="D755" s="46" t="s">
        <v>219</v>
      </c>
      <c r="E755" s="4" t="s">
        <v>22</v>
      </c>
      <c r="F755" s="4"/>
      <c r="G755" s="60">
        <f>G756+G757+G758+G759</f>
        <v>0</v>
      </c>
      <c r="H755" s="3">
        <v>0</v>
      </c>
      <c r="I755" s="60">
        <f>I756+I757+I758+I759</f>
        <v>13874000</v>
      </c>
      <c r="J755" s="3">
        <v>0</v>
      </c>
      <c r="K755" s="60">
        <f>K756+K757+K758+K759</f>
        <v>13874000</v>
      </c>
      <c r="L755" s="133"/>
      <c r="M755" s="60">
        <f>M756+M757+M758+M759</f>
        <v>13874000</v>
      </c>
      <c r="N755" s="133"/>
      <c r="O755" s="60">
        <f>O756+O757+O758+O759</f>
        <v>13892118.540000001</v>
      </c>
      <c r="P755" s="133"/>
      <c r="Q755" s="60">
        <f>Q756+Q757+Q758+Q759</f>
        <v>13892118.540000001</v>
      </c>
    </row>
    <row r="756" spans="2:17" ht="15.75">
      <c r="B756" s="31" t="s">
        <v>320</v>
      </c>
      <c r="C756" s="4"/>
      <c r="D756" s="8" t="s">
        <v>219</v>
      </c>
      <c r="E756" s="8" t="s">
        <v>22</v>
      </c>
      <c r="F756" s="8" t="s">
        <v>325</v>
      </c>
      <c r="G756" s="79">
        <v>0</v>
      </c>
      <c r="H756" s="117">
        <v>12322429</v>
      </c>
      <c r="I756" s="79">
        <f>G756+H756</f>
        <v>12322429</v>
      </c>
      <c r="J756" s="117">
        <v>0</v>
      </c>
      <c r="K756" s="79">
        <f>I756+J756</f>
        <v>12322429</v>
      </c>
      <c r="L756" s="150"/>
      <c r="M756" s="79">
        <f>K756+L756</f>
        <v>12322429</v>
      </c>
      <c r="N756" s="150">
        <f>-203048.13-15200+11621-118.7</f>
        <v>-206745.83000000002</v>
      </c>
      <c r="O756" s="79">
        <f>M756+N756</f>
        <v>12115683.17</v>
      </c>
      <c r="P756" s="150">
        <f>-15527-142800</f>
        <v>-158327</v>
      </c>
      <c r="Q756" s="79">
        <f>O756+P756</f>
        <v>11957356.17</v>
      </c>
    </row>
    <row r="757" spans="2:17" ht="31.5">
      <c r="B757" s="31" t="s">
        <v>321</v>
      </c>
      <c r="C757" s="4"/>
      <c r="D757" s="8" t="s">
        <v>219</v>
      </c>
      <c r="E757" s="8" t="s">
        <v>22</v>
      </c>
      <c r="F757" s="8" t="s">
        <v>326</v>
      </c>
      <c r="G757" s="79">
        <v>0</v>
      </c>
      <c r="H757" s="97" t="s">
        <v>466</v>
      </c>
      <c r="I757" s="79">
        <f>G757+H757</f>
        <v>30000</v>
      </c>
      <c r="J757" s="97" t="s">
        <v>402</v>
      </c>
      <c r="K757" s="79">
        <f>I757+J757</f>
        <v>30000</v>
      </c>
      <c r="L757" s="151"/>
      <c r="M757" s="79">
        <f>K757+L757</f>
        <v>30000</v>
      </c>
      <c r="N757" s="150">
        <f>1258.19+115+118.7</f>
        <v>1491.89</v>
      </c>
      <c r="O757" s="79">
        <f>M757+N757</f>
        <v>31491.89</v>
      </c>
      <c r="P757" s="150"/>
      <c r="Q757" s="79">
        <f>O757+P757</f>
        <v>31491.89</v>
      </c>
    </row>
    <row r="758" spans="2:17" ht="47.25">
      <c r="B758" s="31" t="s">
        <v>322</v>
      </c>
      <c r="C758" s="4"/>
      <c r="D758" s="8" t="s">
        <v>219</v>
      </c>
      <c r="E758" s="8" t="s">
        <v>22</v>
      </c>
      <c r="F758" s="8" t="s">
        <v>327</v>
      </c>
      <c r="G758" s="79">
        <v>0</v>
      </c>
      <c r="H758" s="117">
        <v>747684</v>
      </c>
      <c r="I758" s="79">
        <f>G758+H758</f>
        <v>747684</v>
      </c>
      <c r="J758" s="117">
        <v>0</v>
      </c>
      <c r="K758" s="79">
        <f>I758+J758</f>
        <v>747684</v>
      </c>
      <c r="L758" s="150"/>
      <c r="M758" s="79">
        <f>K758+L758</f>
        <v>747684</v>
      </c>
      <c r="N758" s="150">
        <v>12159.39</v>
      </c>
      <c r="O758" s="79">
        <f>M758+N758</f>
        <v>759843.39</v>
      </c>
      <c r="P758" s="150">
        <v>-1500</v>
      </c>
      <c r="Q758" s="79">
        <f>O758+P758</f>
        <v>758343.39</v>
      </c>
    </row>
    <row r="759" spans="2:17" ht="31.5">
      <c r="B759" s="30" t="s">
        <v>382</v>
      </c>
      <c r="C759" s="4"/>
      <c r="D759" s="8" t="s">
        <v>219</v>
      </c>
      <c r="E759" s="8" t="s">
        <v>22</v>
      </c>
      <c r="F759" s="8" t="s">
        <v>328</v>
      </c>
      <c r="G759" s="79">
        <v>0</v>
      </c>
      <c r="H759" s="117">
        <v>773887</v>
      </c>
      <c r="I759" s="79">
        <f>G759+H759</f>
        <v>773887</v>
      </c>
      <c r="J759" s="117">
        <v>0</v>
      </c>
      <c r="K759" s="79">
        <f>I759+J759</f>
        <v>773887</v>
      </c>
      <c r="L759" s="150"/>
      <c r="M759" s="79">
        <f>K759+L759</f>
        <v>773887</v>
      </c>
      <c r="N759" s="150">
        <f>196013.09+15200</f>
        <v>211213.09</v>
      </c>
      <c r="O759" s="79">
        <f>M759+N759</f>
        <v>985100.09</v>
      </c>
      <c r="P759" s="150">
        <f>1500+15527+142800</f>
        <v>159827</v>
      </c>
      <c r="Q759" s="79">
        <f>O759+P759</f>
        <v>1144927.0899999999</v>
      </c>
    </row>
    <row r="760" spans="2:17" ht="31.5">
      <c r="B760" s="31" t="s">
        <v>188</v>
      </c>
      <c r="C760" s="7"/>
      <c r="D760" s="46" t="s">
        <v>219</v>
      </c>
      <c r="E760" s="4" t="s">
        <v>189</v>
      </c>
      <c r="F760" s="4"/>
      <c r="G760" s="60">
        <f>G761</f>
        <v>0</v>
      </c>
      <c r="H760" s="3"/>
      <c r="I760" s="60">
        <f>I761</f>
        <v>703000</v>
      </c>
      <c r="J760" s="3">
        <v>0</v>
      </c>
      <c r="K760" s="60">
        <f>K761</f>
        <v>803000</v>
      </c>
      <c r="L760" s="133"/>
      <c r="M760" s="60">
        <f>M761</f>
        <v>803000</v>
      </c>
      <c r="N760" s="133"/>
      <c r="O760" s="60">
        <f>O761</f>
        <v>833000</v>
      </c>
      <c r="P760" s="133"/>
      <c r="Q760" s="60">
        <f>Q761</f>
        <v>833000</v>
      </c>
    </row>
    <row r="761" spans="2:17" ht="31.5">
      <c r="B761" s="7" t="s">
        <v>190</v>
      </c>
      <c r="C761" s="7"/>
      <c r="D761" s="46" t="s">
        <v>219</v>
      </c>
      <c r="E761" s="4" t="s">
        <v>191</v>
      </c>
      <c r="F761" s="4"/>
      <c r="G761" s="60">
        <f>G762+G763+G764</f>
        <v>0</v>
      </c>
      <c r="H761" s="3"/>
      <c r="I761" s="60">
        <f>I762+I763+I764</f>
        <v>703000</v>
      </c>
      <c r="J761" s="3"/>
      <c r="K761" s="60">
        <f>K762+K763+K764</f>
        <v>803000</v>
      </c>
      <c r="L761" s="133"/>
      <c r="M761" s="60">
        <f>M762+M763+M764</f>
        <v>803000</v>
      </c>
      <c r="N761" s="133"/>
      <c r="O761" s="60">
        <f>O762+O763+O764</f>
        <v>833000</v>
      </c>
      <c r="P761" s="133"/>
      <c r="Q761" s="60">
        <f>Q762+Q763+Q764</f>
        <v>833000</v>
      </c>
    </row>
    <row r="762" spans="2:17" ht="21" customHeight="1">
      <c r="B762" s="31" t="s">
        <v>320</v>
      </c>
      <c r="C762" s="4" t="s">
        <v>192</v>
      </c>
      <c r="D762" s="8" t="s">
        <v>219</v>
      </c>
      <c r="E762" s="4" t="s">
        <v>191</v>
      </c>
      <c r="F762" s="4" t="s">
        <v>325</v>
      </c>
      <c r="G762" s="86">
        <v>0</v>
      </c>
      <c r="H762" s="3">
        <v>650126</v>
      </c>
      <c r="I762" s="86">
        <f>G762+H762</f>
        <v>650126</v>
      </c>
      <c r="J762" s="3">
        <v>-868</v>
      </c>
      <c r="K762" s="86">
        <f>I762+J762</f>
        <v>649258</v>
      </c>
      <c r="L762" s="133"/>
      <c r="M762" s="86">
        <f>K762+L762</f>
        <v>649258</v>
      </c>
      <c r="N762" s="133"/>
      <c r="O762" s="86">
        <f>M762+N762</f>
        <v>649258</v>
      </c>
      <c r="P762" s="133"/>
      <c r="Q762" s="86">
        <f>O762+P762</f>
        <v>649258</v>
      </c>
    </row>
    <row r="763" spans="2:17" ht="48.75" customHeight="1">
      <c r="B763" s="31" t="s">
        <v>322</v>
      </c>
      <c r="C763" s="8" t="s">
        <v>192</v>
      </c>
      <c r="D763" s="8" t="s">
        <v>219</v>
      </c>
      <c r="E763" s="4" t="s">
        <v>191</v>
      </c>
      <c r="F763" s="8" t="s">
        <v>327</v>
      </c>
      <c r="G763" s="86">
        <v>0</v>
      </c>
      <c r="H763" s="3">
        <v>31660</v>
      </c>
      <c r="I763" s="86">
        <f>G763+H763</f>
        <v>31660</v>
      </c>
      <c r="J763" s="3">
        <v>0</v>
      </c>
      <c r="K763" s="86">
        <f>I763+J763</f>
        <v>31660</v>
      </c>
      <c r="L763" s="133"/>
      <c r="M763" s="86">
        <f>K763+L763</f>
        <v>31660</v>
      </c>
      <c r="N763" s="133"/>
      <c r="O763" s="86">
        <f>M763+N763</f>
        <v>31660</v>
      </c>
      <c r="P763" s="133"/>
      <c r="Q763" s="86">
        <f>O763+P763</f>
        <v>31660</v>
      </c>
    </row>
    <row r="764" spans="2:17" ht="36" customHeight="1">
      <c r="B764" s="30" t="s">
        <v>382</v>
      </c>
      <c r="C764" s="91" t="s">
        <v>192</v>
      </c>
      <c r="D764" s="8" t="s">
        <v>219</v>
      </c>
      <c r="E764" s="4" t="s">
        <v>191</v>
      </c>
      <c r="F764" s="91" t="s">
        <v>328</v>
      </c>
      <c r="G764" s="86">
        <v>0</v>
      </c>
      <c r="H764" s="3">
        <v>21214</v>
      </c>
      <c r="I764" s="86">
        <f>G764+H764</f>
        <v>21214</v>
      </c>
      <c r="J764" s="3">
        <v>100868</v>
      </c>
      <c r="K764" s="86">
        <f>I764+J764</f>
        <v>122082</v>
      </c>
      <c r="L764" s="133"/>
      <c r="M764" s="86">
        <f>K764+L764</f>
        <v>122082</v>
      </c>
      <c r="N764" s="133">
        <v>30000</v>
      </c>
      <c r="O764" s="86">
        <f>M764+N764</f>
        <v>152082</v>
      </c>
      <c r="P764" s="133"/>
      <c r="Q764" s="86">
        <f>O764+P764</f>
        <v>152082</v>
      </c>
    </row>
    <row r="765" spans="2:17" ht="15.75">
      <c r="B765" s="12" t="s">
        <v>313</v>
      </c>
      <c r="C765" s="91"/>
      <c r="D765" s="97" t="s">
        <v>219</v>
      </c>
      <c r="E765" s="102" t="s">
        <v>104</v>
      </c>
      <c r="F765" s="91"/>
      <c r="G765" s="86"/>
      <c r="H765" s="3"/>
      <c r="I765" s="86">
        <f>I766+I769+I771</f>
        <v>283000</v>
      </c>
      <c r="J765" s="3">
        <v>0</v>
      </c>
      <c r="K765" s="86">
        <f>K766+K769+K771</f>
        <v>283000</v>
      </c>
      <c r="L765" s="133"/>
      <c r="M765" s="86">
        <f>M766+M769+M771</f>
        <v>283000</v>
      </c>
      <c r="N765" s="133"/>
      <c r="O765" s="86">
        <f>O766+O769+O771</f>
        <v>283000</v>
      </c>
      <c r="P765" s="133"/>
      <c r="Q765" s="86">
        <f>Q766+Q769+Q771</f>
        <v>183000</v>
      </c>
    </row>
    <row r="766" spans="2:17" ht="15.75">
      <c r="B766" s="105" t="s">
        <v>460</v>
      </c>
      <c r="C766" s="4"/>
      <c r="D766" s="46" t="s">
        <v>219</v>
      </c>
      <c r="E766" s="4" t="s">
        <v>259</v>
      </c>
      <c r="F766" s="4"/>
      <c r="G766" s="60">
        <f>G768+G767</f>
        <v>0</v>
      </c>
      <c r="H766" s="3"/>
      <c r="I766" s="60">
        <f>I768+I767</f>
        <v>220000</v>
      </c>
      <c r="J766" s="3"/>
      <c r="K766" s="60">
        <f>K768+K767</f>
        <v>220000</v>
      </c>
      <c r="L766" s="133"/>
      <c r="M766" s="60">
        <f>M768+M767</f>
        <v>220000</v>
      </c>
      <c r="N766" s="133"/>
      <c r="O766" s="60">
        <f>O768+O767</f>
        <v>220000</v>
      </c>
      <c r="P766" s="133"/>
      <c r="Q766" s="60">
        <f>Q768+Q767</f>
        <v>120000</v>
      </c>
    </row>
    <row r="767" spans="2:17" ht="47.25">
      <c r="B767" s="31" t="s">
        <v>322</v>
      </c>
      <c r="C767" s="4"/>
      <c r="D767" s="98" t="s">
        <v>219</v>
      </c>
      <c r="E767" s="102" t="s">
        <v>259</v>
      </c>
      <c r="F767" s="102" t="s">
        <v>327</v>
      </c>
      <c r="G767" s="60">
        <v>0</v>
      </c>
      <c r="H767" s="3">
        <v>20000</v>
      </c>
      <c r="I767" s="60">
        <f>G767+H767</f>
        <v>20000</v>
      </c>
      <c r="J767" s="3">
        <v>0</v>
      </c>
      <c r="K767" s="60">
        <f>I767+J767</f>
        <v>20000</v>
      </c>
      <c r="L767" s="133"/>
      <c r="M767" s="60">
        <f>K767+L767</f>
        <v>20000</v>
      </c>
      <c r="N767" s="133"/>
      <c r="O767" s="60">
        <f>M767+N767</f>
        <v>20000</v>
      </c>
      <c r="P767" s="133"/>
      <c r="Q767" s="60">
        <f>O767+P767</f>
        <v>20000</v>
      </c>
    </row>
    <row r="768" spans="2:17" ht="31.5">
      <c r="B768" s="30" t="s">
        <v>382</v>
      </c>
      <c r="C768" s="4"/>
      <c r="D768" s="46" t="s">
        <v>219</v>
      </c>
      <c r="E768" s="4" t="s">
        <v>259</v>
      </c>
      <c r="F768" s="4" t="s">
        <v>328</v>
      </c>
      <c r="G768" s="86">
        <v>0</v>
      </c>
      <c r="H768" s="3">
        <v>200000</v>
      </c>
      <c r="I768" s="86">
        <f>G768+H768</f>
        <v>200000</v>
      </c>
      <c r="J768" s="3">
        <v>0</v>
      </c>
      <c r="K768" s="86">
        <f>I768+J768</f>
        <v>200000</v>
      </c>
      <c r="L768" s="133"/>
      <c r="M768" s="86">
        <f>K768+L768</f>
        <v>200000</v>
      </c>
      <c r="N768" s="133"/>
      <c r="O768" s="86">
        <f>M768+N768</f>
        <v>200000</v>
      </c>
      <c r="P768" s="133">
        <v>-100000</v>
      </c>
      <c r="Q768" s="86">
        <f>O768+P768</f>
        <v>100000</v>
      </c>
    </row>
    <row r="769" spans="2:17" ht="31.5" customHeight="1">
      <c r="B769" s="96" t="s">
        <v>462</v>
      </c>
      <c r="C769" s="4"/>
      <c r="D769" s="98" t="s">
        <v>219</v>
      </c>
      <c r="E769" s="8" t="s">
        <v>306</v>
      </c>
      <c r="F769" s="8"/>
      <c r="G769" s="86"/>
      <c r="H769" s="3"/>
      <c r="I769" s="86">
        <f>I770</f>
        <v>13000</v>
      </c>
      <c r="J769" s="3"/>
      <c r="K769" s="86">
        <f>K770</f>
        <v>13000</v>
      </c>
      <c r="L769" s="133"/>
      <c r="M769" s="86">
        <f>M770</f>
        <v>13000</v>
      </c>
      <c r="N769" s="133"/>
      <c r="O769" s="86">
        <f>O770</f>
        <v>13000</v>
      </c>
      <c r="P769" s="133"/>
      <c r="Q769" s="86">
        <f>Q770</f>
        <v>13000</v>
      </c>
    </row>
    <row r="770" spans="2:17" ht="15.75">
      <c r="B770" s="90" t="s">
        <v>334</v>
      </c>
      <c r="C770" s="4"/>
      <c r="D770" s="98" t="s">
        <v>219</v>
      </c>
      <c r="E770" s="8" t="s">
        <v>306</v>
      </c>
      <c r="F770" s="97" t="s">
        <v>335</v>
      </c>
      <c r="G770" s="86"/>
      <c r="H770" s="3">
        <v>13000</v>
      </c>
      <c r="I770" s="86">
        <f>G770+H770</f>
        <v>13000</v>
      </c>
      <c r="J770" s="3">
        <v>0</v>
      </c>
      <c r="K770" s="86">
        <f>I770+J770</f>
        <v>13000</v>
      </c>
      <c r="L770" s="133"/>
      <c r="M770" s="86">
        <f>K770+L770</f>
        <v>13000</v>
      </c>
      <c r="N770" s="133"/>
      <c r="O770" s="86">
        <f>M770+N770</f>
        <v>13000</v>
      </c>
      <c r="P770" s="133"/>
      <c r="Q770" s="86">
        <f>O770+P770</f>
        <v>13000</v>
      </c>
    </row>
    <row r="771" spans="2:17" ht="63">
      <c r="B771" s="96" t="s">
        <v>461</v>
      </c>
      <c r="C771" s="97" t="s">
        <v>192</v>
      </c>
      <c r="D771" s="97" t="s">
        <v>219</v>
      </c>
      <c r="E771" s="97" t="s">
        <v>479</v>
      </c>
      <c r="F771" s="97"/>
      <c r="G771" s="86"/>
      <c r="H771" s="3"/>
      <c r="I771" s="86">
        <f>I772</f>
        <v>50000</v>
      </c>
      <c r="J771" s="3"/>
      <c r="K771" s="86">
        <f>K772</f>
        <v>50000</v>
      </c>
      <c r="L771" s="133"/>
      <c r="M771" s="86">
        <f>M772</f>
        <v>50000</v>
      </c>
      <c r="N771" s="133"/>
      <c r="O771" s="86">
        <f>O772</f>
        <v>50000</v>
      </c>
      <c r="P771" s="133"/>
      <c r="Q771" s="86">
        <f>Q772</f>
        <v>50000</v>
      </c>
    </row>
    <row r="772" spans="2:17" ht="36.75" customHeight="1">
      <c r="B772" s="96" t="s">
        <v>382</v>
      </c>
      <c r="C772" s="97" t="s">
        <v>192</v>
      </c>
      <c r="D772" s="97" t="s">
        <v>219</v>
      </c>
      <c r="E772" s="97" t="s">
        <v>479</v>
      </c>
      <c r="F772" s="97" t="s">
        <v>328</v>
      </c>
      <c r="G772" s="86"/>
      <c r="H772" s="3">
        <v>50000</v>
      </c>
      <c r="I772" s="86">
        <f>G772+H772</f>
        <v>50000</v>
      </c>
      <c r="J772" s="3">
        <v>0</v>
      </c>
      <c r="K772" s="86">
        <f>I772+J772</f>
        <v>50000</v>
      </c>
      <c r="L772" s="133"/>
      <c r="M772" s="86">
        <f>K772+L772</f>
        <v>50000</v>
      </c>
      <c r="N772" s="133"/>
      <c r="O772" s="86">
        <f>M772+N772</f>
        <v>50000</v>
      </c>
      <c r="P772" s="133"/>
      <c r="Q772" s="86">
        <f>O772+P772</f>
        <v>50000</v>
      </c>
    </row>
    <row r="773" spans="2:17" ht="36.75" customHeight="1">
      <c r="B773" s="83" t="s">
        <v>159</v>
      </c>
      <c r="C773" s="5" t="s">
        <v>25</v>
      </c>
      <c r="D773" s="45" t="s">
        <v>25</v>
      </c>
      <c r="E773" s="5"/>
      <c r="F773" s="5"/>
      <c r="G773" s="60" t="e">
        <f>G774+G784+G791</f>
        <v>#REF!</v>
      </c>
      <c r="H773" s="3"/>
      <c r="I773" s="60">
        <f>I774+I784+I791</f>
        <v>4375500</v>
      </c>
      <c r="J773" s="3"/>
      <c r="K773" s="60">
        <f>K774+K784+K791</f>
        <v>4375500</v>
      </c>
      <c r="L773" s="133"/>
      <c r="M773" s="60">
        <f>M774+M784+M791</f>
        <v>4330500</v>
      </c>
      <c r="N773" s="133"/>
      <c r="O773" s="60">
        <f>O774+O784+O791</f>
        <v>4300500</v>
      </c>
      <c r="P773" s="133"/>
      <c r="Q773" s="60">
        <f>Q774+Q784+Q791</f>
        <v>4300500</v>
      </c>
    </row>
    <row r="774" spans="2:17" ht="54.75" customHeight="1">
      <c r="B774" s="105" t="s">
        <v>480</v>
      </c>
      <c r="C774" s="4"/>
      <c r="D774" s="46" t="s">
        <v>26</v>
      </c>
      <c r="E774" s="4"/>
      <c r="F774" s="4"/>
      <c r="G774" s="60" t="e">
        <f>G775+#REF!</f>
        <v>#REF!</v>
      </c>
      <c r="H774" s="3"/>
      <c r="I774" s="60">
        <f>I775</f>
        <v>2804000</v>
      </c>
      <c r="J774" s="3"/>
      <c r="K774" s="60">
        <f>K775</f>
        <v>2804000</v>
      </c>
      <c r="L774" s="133"/>
      <c r="M774" s="60">
        <f>M775</f>
        <v>2759000</v>
      </c>
      <c r="N774" s="133"/>
      <c r="O774" s="60">
        <f>O775</f>
        <v>2729000</v>
      </c>
      <c r="P774" s="133"/>
      <c r="Q774" s="60">
        <f>Q775</f>
        <v>2729000</v>
      </c>
    </row>
    <row r="775" spans="2:17" ht="50.25" customHeight="1">
      <c r="B775" s="7" t="s">
        <v>160</v>
      </c>
      <c r="C775" s="4"/>
      <c r="D775" s="46" t="s">
        <v>26</v>
      </c>
      <c r="E775" s="4">
        <v>2180000</v>
      </c>
      <c r="F775" s="4"/>
      <c r="G775" s="60" t="e">
        <f>G776+G779</f>
        <v>#REF!</v>
      </c>
      <c r="H775" s="3"/>
      <c r="I775" s="60">
        <f>I776+I779</f>
        <v>2804000</v>
      </c>
      <c r="J775" s="3"/>
      <c r="K775" s="60">
        <f>K776+K779</f>
        <v>2804000</v>
      </c>
      <c r="L775" s="133"/>
      <c r="M775" s="60">
        <f>M776+M779</f>
        <v>2759000</v>
      </c>
      <c r="N775" s="133"/>
      <c r="O775" s="60">
        <f>O776+O779</f>
        <v>2729000</v>
      </c>
      <c r="P775" s="133"/>
      <c r="Q775" s="60">
        <f>Q776+Q779</f>
        <v>2729000</v>
      </c>
    </row>
    <row r="776" spans="2:17" ht="45.75" customHeight="1">
      <c r="B776" s="7" t="s">
        <v>161</v>
      </c>
      <c r="C776" s="4"/>
      <c r="D776" s="46" t="s">
        <v>26</v>
      </c>
      <c r="E776" s="4" t="s">
        <v>162</v>
      </c>
      <c r="F776" s="4"/>
      <c r="G776" s="60" t="e">
        <f>G778+#REF!+G777</f>
        <v>#REF!</v>
      </c>
      <c r="H776" s="3"/>
      <c r="I776" s="60">
        <f>I778+I777</f>
        <v>1080000</v>
      </c>
      <c r="J776" s="3"/>
      <c r="K776" s="60">
        <f>K778+K777</f>
        <v>1080000</v>
      </c>
      <c r="L776" s="133"/>
      <c r="M776" s="60">
        <f>M778+M777</f>
        <v>1035000</v>
      </c>
      <c r="N776" s="133"/>
      <c r="O776" s="60">
        <f>O778+O777</f>
        <v>1005000</v>
      </c>
      <c r="P776" s="133"/>
      <c r="Q776" s="60">
        <f>Q778+Q777</f>
        <v>1005000</v>
      </c>
    </row>
    <row r="777" spans="2:17" ht="47.25" customHeight="1">
      <c r="B777" s="31" t="s">
        <v>322</v>
      </c>
      <c r="C777" s="4"/>
      <c r="D777" s="98" t="s">
        <v>26</v>
      </c>
      <c r="E777" s="102" t="s">
        <v>162</v>
      </c>
      <c r="F777" s="102" t="s">
        <v>327</v>
      </c>
      <c r="G777" s="60">
        <v>0</v>
      </c>
      <c r="H777" s="3">
        <v>0</v>
      </c>
      <c r="I777" s="60">
        <f>G777+H777</f>
        <v>0</v>
      </c>
      <c r="J777" s="3">
        <v>18000</v>
      </c>
      <c r="K777" s="60">
        <f>I777+J777</f>
        <v>18000</v>
      </c>
      <c r="L777" s="133"/>
      <c r="M777" s="60">
        <f>K777+L777</f>
        <v>18000</v>
      </c>
      <c r="N777" s="133"/>
      <c r="O777" s="60">
        <f>M777+N777</f>
        <v>18000</v>
      </c>
      <c r="P777" s="133"/>
      <c r="Q777" s="60">
        <f>O777+P777</f>
        <v>18000</v>
      </c>
    </row>
    <row r="778" spans="2:17" ht="31.5" customHeight="1">
      <c r="B778" s="30" t="s">
        <v>382</v>
      </c>
      <c r="C778" s="4"/>
      <c r="D778" s="46" t="s">
        <v>26</v>
      </c>
      <c r="E778" s="4" t="s">
        <v>162</v>
      </c>
      <c r="F778" s="4" t="s">
        <v>328</v>
      </c>
      <c r="G778" s="60">
        <v>0</v>
      </c>
      <c r="H778" s="3">
        <v>1080000</v>
      </c>
      <c r="I778" s="60">
        <f>G778+H778</f>
        <v>1080000</v>
      </c>
      <c r="J778" s="3">
        <v>-18000</v>
      </c>
      <c r="K778" s="60">
        <f>I778+J778</f>
        <v>1062000</v>
      </c>
      <c r="L778" s="133">
        <v>-45000</v>
      </c>
      <c r="M778" s="60">
        <f>K778+L778</f>
        <v>1017000</v>
      </c>
      <c r="N778" s="133">
        <v>-30000</v>
      </c>
      <c r="O778" s="60">
        <f>M778+N778</f>
        <v>987000</v>
      </c>
      <c r="P778" s="133"/>
      <c r="Q778" s="60">
        <f>O778+P778</f>
        <v>987000</v>
      </c>
    </row>
    <row r="779" spans="2:17" ht="51.75" customHeight="1">
      <c r="B779" s="31" t="s">
        <v>430</v>
      </c>
      <c r="C779" s="8"/>
      <c r="D779" s="46" t="s">
        <v>26</v>
      </c>
      <c r="E779" s="8" t="s">
        <v>429</v>
      </c>
      <c r="F779" s="8"/>
      <c r="G779" s="60">
        <f>G780+G781+G782+G783</f>
        <v>0</v>
      </c>
      <c r="H779" s="3"/>
      <c r="I779" s="60">
        <f>I780+I781+I782+I783</f>
        <v>1724000</v>
      </c>
      <c r="J779" s="3"/>
      <c r="K779" s="60">
        <f>K780+K781+K782+K783</f>
        <v>1724000</v>
      </c>
      <c r="L779" s="133"/>
      <c r="M779" s="60">
        <f>M780+M781+M782+M783</f>
        <v>1724000</v>
      </c>
      <c r="N779" s="133"/>
      <c r="O779" s="60">
        <f>O780+O781+O782+O783</f>
        <v>1724000</v>
      </c>
      <c r="P779" s="133"/>
      <c r="Q779" s="60">
        <f>Q780+Q781+Q782+Q783</f>
        <v>1724000</v>
      </c>
    </row>
    <row r="780" spans="2:17" ht="24.75" customHeight="1">
      <c r="B780" s="31" t="s">
        <v>320</v>
      </c>
      <c r="C780" s="8" t="s">
        <v>200</v>
      </c>
      <c r="D780" s="8" t="s">
        <v>26</v>
      </c>
      <c r="E780" s="8" t="s">
        <v>429</v>
      </c>
      <c r="F780" s="8" t="s">
        <v>325</v>
      </c>
      <c r="G780" s="60">
        <v>0</v>
      </c>
      <c r="H780" s="3">
        <v>1328246</v>
      </c>
      <c r="I780" s="60">
        <f>G780+H780</f>
        <v>1328246</v>
      </c>
      <c r="J780" s="3">
        <v>0</v>
      </c>
      <c r="K780" s="60">
        <f>I780+J780</f>
        <v>1328246</v>
      </c>
      <c r="L780" s="133"/>
      <c r="M780" s="60">
        <f>K780+L780</f>
        <v>1328246</v>
      </c>
      <c r="N780" s="133"/>
      <c r="O780" s="60">
        <f>M780+N780</f>
        <v>1328246</v>
      </c>
      <c r="P780" s="133"/>
      <c r="Q780" s="60">
        <f>O780+P780</f>
        <v>1328246</v>
      </c>
    </row>
    <row r="781" spans="2:17" ht="33" customHeight="1">
      <c r="B781" s="31" t="s">
        <v>321</v>
      </c>
      <c r="C781" s="8" t="s">
        <v>200</v>
      </c>
      <c r="D781" s="8" t="s">
        <v>26</v>
      </c>
      <c r="E781" s="8" t="s">
        <v>429</v>
      </c>
      <c r="F781" s="8" t="s">
        <v>326</v>
      </c>
      <c r="G781" s="60">
        <v>0</v>
      </c>
      <c r="H781" s="3">
        <v>46000</v>
      </c>
      <c r="I781" s="60">
        <f>G781+H781</f>
        <v>46000</v>
      </c>
      <c r="J781" s="3">
        <v>0</v>
      </c>
      <c r="K781" s="60">
        <f>I781+J781</f>
        <v>46000</v>
      </c>
      <c r="L781" s="133"/>
      <c r="M781" s="60">
        <f>K781+L781</f>
        <v>46000</v>
      </c>
      <c r="N781" s="133"/>
      <c r="O781" s="60">
        <f>M781+N781</f>
        <v>46000</v>
      </c>
      <c r="P781" s="133"/>
      <c r="Q781" s="60">
        <f>O781+P781</f>
        <v>46000</v>
      </c>
    </row>
    <row r="782" spans="2:17" ht="47.25">
      <c r="B782" s="31" t="s">
        <v>322</v>
      </c>
      <c r="C782" s="8" t="s">
        <v>200</v>
      </c>
      <c r="D782" s="8" t="s">
        <v>26</v>
      </c>
      <c r="E782" s="8" t="s">
        <v>429</v>
      </c>
      <c r="F782" s="8" t="s">
        <v>327</v>
      </c>
      <c r="G782" s="60">
        <v>0</v>
      </c>
      <c r="H782" s="3">
        <v>91000</v>
      </c>
      <c r="I782" s="60">
        <f>G782+H782</f>
        <v>91000</v>
      </c>
      <c r="J782" s="3">
        <v>0</v>
      </c>
      <c r="K782" s="60">
        <f>I782+J782</f>
        <v>91000</v>
      </c>
      <c r="L782" s="133">
        <v>47400</v>
      </c>
      <c r="M782" s="60">
        <f>K782+L782</f>
        <v>138400</v>
      </c>
      <c r="N782" s="133">
        <v>0</v>
      </c>
      <c r="O782" s="60">
        <f>M782+N782</f>
        <v>138400</v>
      </c>
      <c r="P782" s="133"/>
      <c r="Q782" s="60">
        <f>O782+P782</f>
        <v>138400</v>
      </c>
    </row>
    <row r="783" spans="2:17" ht="32.25" customHeight="1">
      <c r="B783" s="31" t="s">
        <v>382</v>
      </c>
      <c r="C783" s="8" t="s">
        <v>200</v>
      </c>
      <c r="D783" s="8" t="s">
        <v>26</v>
      </c>
      <c r="E783" s="8" t="s">
        <v>429</v>
      </c>
      <c r="F783" s="8" t="s">
        <v>328</v>
      </c>
      <c r="G783" s="60">
        <v>0</v>
      </c>
      <c r="H783" s="3">
        <v>258754</v>
      </c>
      <c r="I783" s="60">
        <f>G783+H783</f>
        <v>258754</v>
      </c>
      <c r="J783" s="3">
        <v>0</v>
      </c>
      <c r="K783" s="60">
        <f>I783+J783</f>
        <v>258754</v>
      </c>
      <c r="L783" s="133">
        <v>-47400</v>
      </c>
      <c r="M783" s="60">
        <f>K783+L783</f>
        <v>211354</v>
      </c>
      <c r="N783" s="133">
        <v>0</v>
      </c>
      <c r="O783" s="60">
        <f>M783+N783</f>
        <v>211354</v>
      </c>
      <c r="P783" s="133"/>
      <c r="Q783" s="60">
        <f>O783+P783</f>
        <v>211354</v>
      </c>
    </row>
    <row r="784" spans="2:17" ht="19.5" customHeight="1">
      <c r="B784" s="7" t="s">
        <v>163</v>
      </c>
      <c r="C784" s="5"/>
      <c r="D784" s="46" t="s">
        <v>27</v>
      </c>
      <c r="E784" s="4"/>
      <c r="F784" s="4"/>
      <c r="G784" s="60" t="e">
        <f>G785+G789</f>
        <v>#REF!</v>
      </c>
      <c r="H784" s="3"/>
      <c r="I784" s="60">
        <f>I785+I788</f>
        <v>1338000</v>
      </c>
      <c r="J784" s="3"/>
      <c r="K784" s="60">
        <f>K785+K788</f>
        <v>1338000</v>
      </c>
      <c r="L784" s="133"/>
      <c r="M784" s="60">
        <f>M785+M788</f>
        <v>1338000</v>
      </c>
      <c r="N784" s="133"/>
      <c r="O784" s="60">
        <f>O785+O788</f>
        <v>1338000</v>
      </c>
      <c r="P784" s="133"/>
      <c r="Q784" s="60">
        <f>Q785+Q788</f>
        <v>1338000</v>
      </c>
    </row>
    <row r="785" spans="2:17" ht="51" customHeight="1">
      <c r="B785" s="105" t="s">
        <v>578</v>
      </c>
      <c r="C785" s="4"/>
      <c r="D785" s="46" t="s">
        <v>27</v>
      </c>
      <c r="E785" s="102" t="s">
        <v>509</v>
      </c>
      <c r="F785" s="4"/>
      <c r="G785" s="60" t="e">
        <f>G787+#REF!</f>
        <v>#REF!</v>
      </c>
      <c r="H785" s="3"/>
      <c r="I785" s="60">
        <f>I787</f>
        <v>381000</v>
      </c>
      <c r="J785" s="3"/>
      <c r="K785" s="60">
        <f>K787</f>
        <v>381000</v>
      </c>
      <c r="L785" s="133"/>
      <c r="M785" s="60">
        <f>M787</f>
        <v>381000</v>
      </c>
      <c r="N785" s="133"/>
      <c r="O785" s="60">
        <f>O787</f>
        <v>381000</v>
      </c>
      <c r="P785" s="133"/>
      <c r="Q785" s="60">
        <f>Q787</f>
        <v>381000</v>
      </c>
    </row>
    <row r="786" spans="2:17" ht="33" customHeight="1">
      <c r="B786" s="105" t="s">
        <v>562</v>
      </c>
      <c r="C786" s="4"/>
      <c r="D786" s="98" t="s">
        <v>27</v>
      </c>
      <c r="E786" s="102" t="s">
        <v>510</v>
      </c>
      <c r="F786" s="4"/>
      <c r="G786" s="60"/>
      <c r="H786" s="3"/>
      <c r="I786" s="60"/>
      <c r="J786" s="3"/>
      <c r="K786" s="60"/>
      <c r="L786" s="133"/>
      <c r="M786" s="60"/>
      <c r="N786" s="133"/>
      <c r="O786" s="60"/>
      <c r="P786" s="133"/>
      <c r="Q786" s="60"/>
    </row>
    <row r="787" spans="2:17" ht="38.25" customHeight="1">
      <c r="B787" s="30" t="s">
        <v>382</v>
      </c>
      <c r="C787" s="4"/>
      <c r="D787" s="46" t="s">
        <v>27</v>
      </c>
      <c r="E787" s="102" t="s">
        <v>510</v>
      </c>
      <c r="F787" s="4" t="s">
        <v>328</v>
      </c>
      <c r="G787" s="60">
        <v>0</v>
      </c>
      <c r="H787" s="3">
        <v>381000</v>
      </c>
      <c r="I787" s="60">
        <f>G787+H787</f>
        <v>381000</v>
      </c>
      <c r="J787" s="3">
        <v>0</v>
      </c>
      <c r="K787" s="60">
        <f>I787+J787</f>
        <v>381000</v>
      </c>
      <c r="L787" s="133"/>
      <c r="M787" s="60">
        <f>K787+L787</f>
        <v>381000</v>
      </c>
      <c r="N787" s="133"/>
      <c r="O787" s="60">
        <f>M787+N787</f>
        <v>381000</v>
      </c>
      <c r="P787" s="133"/>
      <c r="Q787" s="60">
        <f>O787+P787</f>
        <v>381000</v>
      </c>
    </row>
    <row r="788" spans="2:17" ht="15.75">
      <c r="B788" s="12" t="s">
        <v>313</v>
      </c>
      <c r="C788" s="85"/>
      <c r="D788" s="98" t="s">
        <v>27</v>
      </c>
      <c r="E788" s="102" t="s">
        <v>104</v>
      </c>
      <c r="F788" s="4"/>
      <c r="G788" s="60"/>
      <c r="H788" s="3"/>
      <c r="I788" s="60">
        <f>I789</f>
        <v>957000</v>
      </c>
      <c r="J788" s="3"/>
      <c r="K788" s="60">
        <f>K789</f>
        <v>957000</v>
      </c>
      <c r="L788" s="133"/>
      <c r="M788" s="60">
        <f>M789</f>
        <v>957000</v>
      </c>
      <c r="N788" s="133"/>
      <c r="O788" s="60">
        <f>O789</f>
        <v>957000</v>
      </c>
      <c r="P788" s="133"/>
      <c r="Q788" s="60">
        <f>Q789</f>
        <v>957000</v>
      </c>
    </row>
    <row r="789" spans="2:17" ht="66.75" customHeight="1">
      <c r="B789" s="32" t="s">
        <v>299</v>
      </c>
      <c r="C789" s="85"/>
      <c r="D789" s="46" t="s">
        <v>27</v>
      </c>
      <c r="E789" s="102" t="s">
        <v>286</v>
      </c>
      <c r="F789" s="4"/>
      <c r="G789" s="60">
        <f>G790</f>
        <v>0</v>
      </c>
      <c r="H789" s="3"/>
      <c r="I789" s="60">
        <f>I790</f>
        <v>957000</v>
      </c>
      <c r="J789" s="3"/>
      <c r="K789" s="60">
        <f>K790</f>
        <v>957000</v>
      </c>
      <c r="L789" s="133"/>
      <c r="M789" s="60">
        <f>M790</f>
        <v>957000</v>
      </c>
      <c r="N789" s="133"/>
      <c r="O789" s="60">
        <f>O790</f>
        <v>957000</v>
      </c>
      <c r="P789" s="133"/>
      <c r="Q789" s="60">
        <f>Q790</f>
        <v>957000</v>
      </c>
    </row>
    <row r="790" spans="2:17" ht="36.75" customHeight="1">
      <c r="B790" s="30" t="s">
        <v>382</v>
      </c>
      <c r="C790" s="4"/>
      <c r="D790" s="46" t="s">
        <v>27</v>
      </c>
      <c r="E790" s="102" t="s">
        <v>286</v>
      </c>
      <c r="F790" s="4" t="s">
        <v>328</v>
      </c>
      <c r="G790" s="60">
        <v>0</v>
      </c>
      <c r="H790" s="3">
        <v>957000</v>
      </c>
      <c r="I790" s="60">
        <f>G790+H790</f>
        <v>957000</v>
      </c>
      <c r="J790" s="3">
        <v>0</v>
      </c>
      <c r="K790" s="60">
        <f>I790+J790</f>
        <v>957000</v>
      </c>
      <c r="L790" s="133"/>
      <c r="M790" s="60">
        <f>K790+L790</f>
        <v>957000</v>
      </c>
      <c r="N790" s="133"/>
      <c r="O790" s="60">
        <f>M790+N790</f>
        <v>957000</v>
      </c>
      <c r="P790" s="133"/>
      <c r="Q790" s="60">
        <f>O790+P790</f>
        <v>957000</v>
      </c>
    </row>
    <row r="791" spans="2:17" ht="36.75" customHeight="1">
      <c r="B791" s="114" t="s">
        <v>506</v>
      </c>
      <c r="C791" s="24"/>
      <c r="D791" s="98" t="s">
        <v>507</v>
      </c>
      <c r="E791" s="5"/>
      <c r="F791" s="4"/>
      <c r="G791" s="60" t="e">
        <f>G793</f>
        <v>#REF!</v>
      </c>
      <c r="H791" s="3"/>
      <c r="I791" s="60">
        <f>I792</f>
        <v>233500</v>
      </c>
      <c r="J791" s="3"/>
      <c r="K791" s="60">
        <f>K792</f>
        <v>233500</v>
      </c>
      <c r="L791" s="133"/>
      <c r="M791" s="60">
        <f>M792</f>
        <v>233500</v>
      </c>
      <c r="N791" s="133"/>
      <c r="O791" s="60">
        <f>O792</f>
        <v>233500</v>
      </c>
      <c r="P791" s="133"/>
      <c r="Q791" s="60">
        <f>Q792</f>
        <v>233500</v>
      </c>
    </row>
    <row r="792" spans="2:17" ht="15.75">
      <c r="B792" s="109" t="s">
        <v>313</v>
      </c>
      <c r="C792" s="24"/>
      <c r="D792" s="98" t="s">
        <v>507</v>
      </c>
      <c r="E792" s="102" t="s">
        <v>104</v>
      </c>
      <c r="F792" s="4"/>
      <c r="G792" s="60"/>
      <c r="H792" s="3"/>
      <c r="I792" s="60">
        <f>I793</f>
        <v>233500</v>
      </c>
      <c r="J792" s="3"/>
      <c r="K792" s="60">
        <f>K793</f>
        <v>233500</v>
      </c>
      <c r="L792" s="133"/>
      <c r="M792" s="60">
        <f>M793</f>
        <v>233500</v>
      </c>
      <c r="N792" s="133"/>
      <c r="O792" s="60">
        <f>O793</f>
        <v>233500</v>
      </c>
      <c r="P792" s="133"/>
      <c r="Q792" s="60">
        <f>Q793</f>
        <v>233500</v>
      </c>
    </row>
    <row r="793" spans="2:17" ht="65.25" customHeight="1">
      <c r="B793" s="99" t="s">
        <v>314</v>
      </c>
      <c r="C793" s="24"/>
      <c r="D793" s="98" t="s">
        <v>507</v>
      </c>
      <c r="E793" s="4" t="s">
        <v>260</v>
      </c>
      <c r="F793" s="5"/>
      <c r="G793" s="60" t="e">
        <f>#REF!+G794</f>
        <v>#REF!</v>
      </c>
      <c r="H793" s="3"/>
      <c r="I793" s="60">
        <f>I794</f>
        <v>233500</v>
      </c>
      <c r="J793" s="3"/>
      <c r="K793" s="60">
        <f>K794</f>
        <v>233500</v>
      </c>
      <c r="L793" s="133"/>
      <c r="M793" s="60">
        <f>M794</f>
        <v>233500</v>
      </c>
      <c r="N793" s="133"/>
      <c r="O793" s="60">
        <f>O794</f>
        <v>233500</v>
      </c>
      <c r="P793" s="133"/>
      <c r="Q793" s="60">
        <f>Q794</f>
        <v>233500</v>
      </c>
    </row>
    <row r="794" spans="2:17" ht="36.75" customHeight="1">
      <c r="B794" s="30" t="s">
        <v>382</v>
      </c>
      <c r="C794" s="24"/>
      <c r="D794" s="98" t="s">
        <v>507</v>
      </c>
      <c r="E794" s="4" t="s">
        <v>260</v>
      </c>
      <c r="F794" s="4" t="s">
        <v>328</v>
      </c>
      <c r="G794" s="60">
        <v>0</v>
      </c>
      <c r="H794" s="3">
        <v>233500</v>
      </c>
      <c r="I794" s="60">
        <f>G794+H794</f>
        <v>233500</v>
      </c>
      <c r="J794" s="3">
        <v>0</v>
      </c>
      <c r="K794" s="60">
        <f>I794+J794</f>
        <v>233500</v>
      </c>
      <c r="L794" s="133"/>
      <c r="M794" s="60">
        <f>K794+L794</f>
        <v>233500</v>
      </c>
      <c r="N794" s="133"/>
      <c r="O794" s="60">
        <f>M794+N794</f>
        <v>233500</v>
      </c>
      <c r="P794" s="133"/>
      <c r="Q794" s="60">
        <f>O794+P794</f>
        <v>233500</v>
      </c>
    </row>
    <row r="795" spans="2:17" ht="15.75" customHeight="1">
      <c r="B795" s="83" t="s">
        <v>28</v>
      </c>
      <c r="C795" s="8" t="s">
        <v>29</v>
      </c>
      <c r="D795" s="45" t="s">
        <v>29</v>
      </c>
      <c r="E795" s="4"/>
      <c r="F795" s="4"/>
      <c r="G795" s="60" t="e">
        <f>G796+G799+G807+G839+G834+G814</f>
        <v>#REF!</v>
      </c>
      <c r="H795" s="3"/>
      <c r="I795" s="60" t="e">
        <f>I796+I799+I807+I839+I834+I814</f>
        <v>#REF!</v>
      </c>
      <c r="J795" s="3"/>
      <c r="K795" s="60">
        <f>K796+K799+K807+K839+K834+K814</f>
        <v>19382660</v>
      </c>
      <c r="L795" s="133"/>
      <c r="M795" s="60">
        <f>M796+M799+M807+M839+M834+M814</f>
        <v>31448485.5</v>
      </c>
      <c r="N795" s="133"/>
      <c r="O795" s="60">
        <f>O796+O799+O807+O839+O834+O814</f>
        <v>30052182.3</v>
      </c>
      <c r="P795" s="133"/>
      <c r="Q795" s="60">
        <f>Q796+Q799+Q807+Q839+Q834+Q814</f>
        <v>27996906.630000003</v>
      </c>
    </row>
    <row r="796" spans="2:17" ht="18" customHeight="1">
      <c r="B796" s="7" t="s">
        <v>30</v>
      </c>
      <c r="C796" s="4"/>
      <c r="D796" s="46" t="s">
        <v>31</v>
      </c>
      <c r="E796" s="4"/>
      <c r="F796" s="4"/>
      <c r="G796" s="60">
        <f>G797</f>
        <v>0</v>
      </c>
      <c r="H796" s="3"/>
      <c r="I796" s="60">
        <f>I797</f>
        <v>85000</v>
      </c>
      <c r="J796" s="3"/>
      <c r="K796" s="60">
        <f>K797</f>
        <v>85000</v>
      </c>
      <c r="L796" s="133"/>
      <c r="M796" s="60">
        <f>M797</f>
        <v>85000</v>
      </c>
      <c r="N796" s="133"/>
      <c r="O796" s="60">
        <f>O797</f>
        <v>85000</v>
      </c>
      <c r="P796" s="133"/>
      <c r="Q796" s="60">
        <f>Q797</f>
        <v>85000</v>
      </c>
    </row>
    <row r="797" spans="2:17" ht="15.75">
      <c r="B797" s="12" t="s">
        <v>317</v>
      </c>
      <c r="C797" s="8"/>
      <c r="D797" s="46" t="s">
        <v>31</v>
      </c>
      <c r="E797" s="8" t="s">
        <v>305</v>
      </c>
      <c r="F797" s="8"/>
      <c r="G797" s="60">
        <f>G798</f>
        <v>0</v>
      </c>
      <c r="H797" s="3"/>
      <c r="I797" s="60">
        <f>I798</f>
        <v>85000</v>
      </c>
      <c r="J797" s="3"/>
      <c r="K797" s="60">
        <f>K798</f>
        <v>85000</v>
      </c>
      <c r="L797" s="133"/>
      <c r="M797" s="60">
        <f>M798</f>
        <v>85000</v>
      </c>
      <c r="N797" s="133"/>
      <c r="O797" s="60">
        <f>O798</f>
        <v>85000</v>
      </c>
      <c r="P797" s="133"/>
      <c r="Q797" s="60">
        <f>Q798</f>
        <v>85000</v>
      </c>
    </row>
    <row r="798" spans="2:17" ht="18" customHeight="1">
      <c r="B798" s="7" t="s">
        <v>334</v>
      </c>
      <c r="C798" s="8"/>
      <c r="D798" s="46" t="s">
        <v>31</v>
      </c>
      <c r="E798" s="8" t="s">
        <v>305</v>
      </c>
      <c r="F798" s="8" t="s">
        <v>335</v>
      </c>
      <c r="G798" s="60">
        <v>0</v>
      </c>
      <c r="H798" s="3">
        <v>85000</v>
      </c>
      <c r="I798" s="60">
        <f>G798+H798</f>
        <v>85000</v>
      </c>
      <c r="J798" s="3">
        <v>0</v>
      </c>
      <c r="K798" s="60">
        <f>I798+J798</f>
        <v>85000</v>
      </c>
      <c r="L798" s="133"/>
      <c r="M798" s="60">
        <f>K798+L798</f>
        <v>85000</v>
      </c>
      <c r="N798" s="133"/>
      <c r="O798" s="60">
        <f>M798+N798</f>
        <v>85000</v>
      </c>
      <c r="P798" s="133"/>
      <c r="Q798" s="60">
        <f>O798+P798</f>
        <v>85000</v>
      </c>
    </row>
    <row r="799" spans="2:17" ht="18" customHeight="1">
      <c r="B799" s="7" t="s">
        <v>422</v>
      </c>
      <c r="C799" s="8"/>
      <c r="D799" s="46" t="s">
        <v>32</v>
      </c>
      <c r="E799" s="8"/>
      <c r="F799" s="8"/>
      <c r="G799" s="60" t="e">
        <f>#REF!+G804</f>
        <v>#REF!</v>
      </c>
      <c r="H799" s="3"/>
      <c r="I799" s="60">
        <f>I804</f>
        <v>1899000</v>
      </c>
      <c r="J799" s="3"/>
      <c r="K799" s="60">
        <f>K804</f>
        <v>1899000</v>
      </c>
      <c r="L799" s="133"/>
      <c r="M799" s="60">
        <f>M804</f>
        <v>1899000</v>
      </c>
      <c r="N799" s="133"/>
      <c r="O799" s="60">
        <f>O804</f>
        <v>1899000</v>
      </c>
      <c r="P799" s="133"/>
      <c r="Q799" s="60">
        <f>Q804</f>
        <v>1899000</v>
      </c>
    </row>
    <row r="800" spans="2:17" ht="23.25" customHeight="1" hidden="1">
      <c r="B800" s="7" t="s">
        <v>33</v>
      </c>
      <c r="C800" s="8"/>
      <c r="D800" s="46" t="s">
        <v>32</v>
      </c>
      <c r="E800" s="8">
        <v>2800000</v>
      </c>
      <c r="F800" s="8"/>
      <c r="G800" s="60" t="e">
        <f>G801</f>
        <v>#REF!</v>
      </c>
      <c r="H800" s="3"/>
      <c r="I800" s="60" t="e">
        <f>I801</f>
        <v>#REF!</v>
      </c>
      <c r="J800" s="3"/>
      <c r="K800" s="60" t="e">
        <f>K801</f>
        <v>#REF!</v>
      </c>
      <c r="L800" s="133"/>
      <c r="M800" s="60" t="e">
        <f>M801</f>
        <v>#REF!</v>
      </c>
      <c r="N800" s="133"/>
      <c r="O800" s="60" t="e">
        <f>O801</f>
        <v>#REF!</v>
      </c>
      <c r="P800" s="133"/>
      <c r="Q800" s="60" t="e">
        <f>Q801</f>
        <v>#REF!</v>
      </c>
    </row>
    <row r="801" spans="2:17" ht="23.25" customHeight="1" hidden="1">
      <c r="B801" s="7" t="s">
        <v>195</v>
      </c>
      <c r="C801" s="8"/>
      <c r="D801" s="46" t="s">
        <v>32</v>
      </c>
      <c r="E801" s="8" t="s">
        <v>34</v>
      </c>
      <c r="F801" s="8"/>
      <c r="G801" s="60" t="e">
        <f>G803</f>
        <v>#REF!</v>
      </c>
      <c r="H801" s="3"/>
      <c r="I801" s="60" t="e">
        <f>I803</f>
        <v>#REF!</v>
      </c>
      <c r="J801" s="3"/>
      <c r="K801" s="60" t="e">
        <f>K803</f>
        <v>#REF!</v>
      </c>
      <c r="L801" s="133"/>
      <c r="M801" s="60" t="e">
        <f>M803</f>
        <v>#REF!</v>
      </c>
      <c r="N801" s="133"/>
      <c r="O801" s="60" t="e">
        <f>O803</f>
        <v>#REF!</v>
      </c>
      <c r="P801" s="133"/>
      <c r="Q801" s="60" t="e">
        <f>Q803</f>
        <v>#REF!</v>
      </c>
    </row>
    <row r="802" spans="2:17" ht="0.75" customHeight="1" hidden="1">
      <c r="B802" s="7" t="s">
        <v>35</v>
      </c>
      <c r="C802" s="8"/>
      <c r="D802" s="46" t="s">
        <v>32</v>
      </c>
      <c r="E802" s="8" t="s">
        <v>34</v>
      </c>
      <c r="F802" s="8" t="s">
        <v>36</v>
      </c>
      <c r="G802" s="60" t="e">
        <f>#REF!+#REF!</f>
        <v>#REF!</v>
      </c>
      <c r="H802" s="3"/>
      <c r="I802" s="60" t="e">
        <f>#REF!+#REF!</f>
        <v>#REF!</v>
      </c>
      <c r="J802" s="3"/>
      <c r="K802" s="60" t="e">
        <f>#REF!+#REF!</f>
        <v>#REF!</v>
      </c>
      <c r="L802" s="133"/>
      <c r="M802" s="60" t="e">
        <f>#REF!+#REF!</f>
        <v>#REF!</v>
      </c>
      <c r="N802" s="133"/>
      <c r="O802" s="60" t="e">
        <f>#REF!+#REF!</f>
        <v>#REF!</v>
      </c>
      <c r="P802" s="133"/>
      <c r="Q802" s="60" t="e">
        <f>#REF!+#REF!</f>
        <v>#REF!</v>
      </c>
    </row>
    <row r="803" spans="2:17" ht="0.75" customHeight="1" hidden="1">
      <c r="B803" s="7" t="s">
        <v>37</v>
      </c>
      <c r="C803" s="8"/>
      <c r="D803" s="46" t="s">
        <v>32</v>
      </c>
      <c r="E803" s="8" t="s">
        <v>34</v>
      </c>
      <c r="F803" s="8" t="s">
        <v>38</v>
      </c>
      <c r="G803" s="60" t="e">
        <f>#REF!+#REF!</f>
        <v>#REF!</v>
      </c>
      <c r="H803" s="3"/>
      <c r="I803" s="60" t="e">
        <f>G803+H803</f>
        <v>#REF!</v>
      </c>
      <c r="J803" s="3"/>
      <c r="K803" s="60" t="e">
        <f>I803+J803</f>
        <v>#REF!</v>
      </c>
      <c r="L803" s="133"/>
      <c r="M803" s="60" t="e">
        <f>K803+L803</f>
        <v>#REF!</v>
      </c>
      <c r="N803" s="133"/>
      <c r="O803" s="60" t="e">
        <f>M803+N803</f>
        <v>#REF!</v>
      </c>
      <c r="P803" s="133"/>
      <c r="Q803" s="60" t="e">
        <f>O803+P803</f>
        <v>#REF!</v>
      </c>
    </row>
    <row r="804" spans="2:17" ht="45" customHeight="1">
      <c r="B804" s="106" t="s">
        <v>490</v>
      </c>
      <c r="C804" s="8"/>
      <c r="D804" s="46" t="s">
        <v>32</v>
      </c>
      <c r="E804" s="8" t="s">
        <v>197</v>
      </c>
      <c r="F804" s="8"/>
      <c r="G804" s="60">
        <f>G805+G806</f>
        <v>0</v>
      </c>
      <c r="H804" s="3"/>
      <c r="I804" s="60">
        <f>I805+I806</f>
        <v>1899000</v>
      </c>
      <c r="J804" s="3"/>
      <c r="K804" s="60">
        <f>K805+K806</f>
        <v>1899000</v>
      </c>
      <c r="L804" s="133"/>
      <c r="M804" s="60">
        <f>M805+M806</f>
        <v>1899000</v>
      </c>
      <c r="N804" s="133"/>
      <c r="O804" s="60">
        <f>O805+O806</f>
        <v>1899000</v>
      </c>
      <c r="P804" s="133"/>
      <c r="Q804" s="60">
        <f>Q805+Q806</f>
        <v>1899000</v>
      </c>
    </row>
    <row r="805" spans="2:17" ht="36" customHeight="1" hidden="1">
      <c r="B805" s="7" t="s">
        <v>379</v>
      </c>
      <c r="C805" s="8"/>
      <c r="D805" s="46" t="s">
        <v>32</v>
      </c>
      <c r="E805" s="8" t="s">
        <v>197</v>
      </c>
      <c r="F805" s="8" t="s">
        <v>331</v>
      </c>
      <c r="G805" s="60">
        <v>0</v>
      </c>
      <c r="H805" s="3">
        <v>0</v>
      </c>
      <c r="I805" s="60">
        <f>G805+H805</f>
        <v>0</v>
      </c>
      <c r="J805" s="3">
        <v>0</v>
      </c>
      <c r="K805" s="60">
        <f>I805+J805</f>
        <v>0</v>
      </c>
      <c r="L805" s="133"/>
      <c r="M805" s="60">
        <f>K805+L805</f>
        <v>0</v>
      </c>
      <c r="N805" s="133"/>
      <c r="O805" s="60">
        <f>M805+N805</f>
        <v>0</v>
      </c>
      <c r="P805" s="133"/>
      <c r="Q805" s="60">
        <f>O805+P805</f>
        <v>0</v>
      </c>
    </row>
    <row r="806" spans="2:17" ht="36" customHeight="1">
      <c r="B806" s="7" t="s">
        <v>380</v>
      </c>
      <c r="C806" s="8"/>
      <c r="D806" s="46" t="s">
        <v>32</v>
      </c>
      <c r="E806" s="8" t="s">
        <v>197</v>
      </c>
      <c r="F806" s="8" t="s">
        <v>328</v>
      </c>
      <c r="G806" s="60">
        <v>0</v>
      </c>
      <c r="H806" s="3">
        <v>1899000</v>
      </c>
      <c r="I806" s="60">
        <f>G806+H806</f>
        <v>1899000</v>
      </c>
      <c r="J806" s="3">
        <v>0</v>
      </c>
      <c r="K806" s="60">
        <f>I806+J806</f>
        <v>1899000</v>
      </c>
      <c r="L806" s="133"/>
      <c r="M806" s="60">
        <f>K806+L806</f>
        <v>1899000</v>
      </c>
      <c r="N806" s="133"/>
      <c r="O806" s="60">
        <f>M806+N806</f>
        <v>1899000</v>
      </c>
      <c r="P806" s="133"/>
      <c r="Q806" s="60">
        <f>O806+P806</f>
        <v>1899000</v>
      </c>
    </row>
    <row r="807" spans="2:17" ht="18.75" customHeight="1">
      <c r="B807" s="7" t="s">
        <v>165</v>
      </c>
      <c r="C807" s="8"/>
      <c r="D807" s="46" t="s">
        <v>166</v>
      </c>
      <c r="E807" s="8"/>
      <c r="F807" s="8"/>
      <c r="G807" s="60">
        <f>G808</f>
        <v>0</v>
      </c>
      <c r="H807" s="3"/>
      <c r="I807" s="60">
        <f>I808</f>
        <v>720000</v>
      </c>
      <c r="J807" s="3"/>
      <c r="K807" s="60">
        <f>K808</f>
        <v>720000</v>
      </c>
      <c r="L807" s="133"/>
      <c r="M807" s="60">
        <f>M808</f>
        <v>720000</v>
      </c>
      <c r="N807" s="133"/>
      <c r="O807" s="60">
        <f>O808</f>
        <v>220000</v>
      </c>
      <c r="P807" s="133"/>
      <c r="Q807" s="60">
        <f>Q808</f>
        <v>220000</v>
      </c>
    </row>
    <row r="808" spans="2:17" ht="18.75" customHeight="1">
      <c r="B808" s="7" t="s">
        <v>167</v>
      </c>
      <c r="C808" s="8"/>
      <c r="D808" s="46" t="s">
        <v>166</v>
      </c>
      <c r="E808" s="8" t="s">
        <v>168</v>
      </c>
      <c r="F808" s="8"/>
      <c r="G808" s="60">
        <f>G809</f>
        <v>0</v>
      </c>
      <c r="H808" s="3"/>
      <c r="I808" s="60">
        <f>I809</f>
        <v>720000</v>
      </c>
      <c r="J808" s="3"/>
      <c r="K808" s="60">
        <f>K809</f>
        <v>720000</v>
      </c>
      <c r="L808" s="133"/>
      <c r="M808" s="60">
        <f>M809</f>
        <v>720000</v>
      </c>
      <c r="N808" s="133"/>
      <c r="O808" s="60">
        <f>O809</f>
        <v>220000</v>
      </c>
      <c r="P808" s="133"/>
      <c r="Q808" s="60">
        <f>Q809</f>
        <v>220000</v>
      </c>
    </row>
    <row r="809" spans="2:17" ht="37.5" customHeight="1">
      <c r="B809" s="7" t="s">
        <v>420</v>
      </c>
      <c r="C809" s="8"/>
      <c r="D809" s="46" t="s">
        <v>166</v>
      </c>
      <c r="E809" s="8" t="s">
        <v>169</v>
      </c>
      <c r="F809" s="8"/>
      <c r="G809" s="60">
        <f>G810+G812</f>
        <v>0</v>
      </c>
      <c r="H809" s="3"/>
      <c r="I809" s="60">
        <f>I810+I812</f>
        <v>720000</v>
      </c>
      <c r="J809" s="3"/>
      <c r="K809" s="60">
        <f>K810+K812</f>
        <v>720000</v>
      </c>
      <c r="L809" s="133"/>
      <c r="M809" s="60">
        <f>M810+M812</f>
        <v>720000</v>
      </c>
      <c r="N809" s="133"/>
      <c r="O809" s="60">
        <f>O810+O812</f>
        <v>220000</v>
      </c>
      <c r="P809" s="133"/>
      <c r="Q809" s="60">
        <f>Q810+Q812</f>
        <v>220000</v>
      </c>
    </row>
    <row r="810" spans="2:17" ht="63">
      <c r="B810" s="30" t="s">
        <v>421</v>
      </c>
      <c r="C810" s="8"/>
      <c r="D810" s="46" t="s">
        <v>166</v>
      </c>
      <c r="E810" s="8" t="s">
        <v>413</v>
      </c>
      <c r="F810" s="8"/>
      <c r="G810" s="60">
        <f>G811</f>
        <v>0</v>
      </c>
      <c r="H810" s="3"/>
      <c r="I810" s="60">
        <f>I811</f>
        <v>520000</v>
      </c>
      <c r="J810" s="3"/>
      <c r="K810" s="60">
        <f>K811</f>
        <v>520000</v>
      </c>
      <c r="L810" s="133"/>
      <c r="M810" s="60">
        <f>M811</f>
        <v>520000</v>
      </c>
      <c r="N810" s="133"/>
      <c r="O810" s="60">
        <f>O811</f>
        <v>20000</v>
      </c>
      <c r="P810" s="133"/>
      <c r="Q810" s="60">
        <f>Q811</f>
        <v>20000</v>
      </c>
    </row>
    <row r="811" spans="2:17" ht="63">
      <c r="B811" s="7" t="s">
        <v>381</v>
      </c>
      <c r="C811" s="8"/>
      <c r="D811" s="46" t="s">
        <v>166</v>
      </c>
      <c r="E811" s="8" t="s">
        <v>413</v>
      </c>
      <c r="F811" s="8" t="s">
        <v>360</v>
      </c>
      <c r="G811" s="60">
        <v>0</v>
      </c>
      <c r="H811" s="3">
        <v>520000</v>
      </c>
      <c r="I811" s="60">
        <f>G811+H811</f>
        <v>520000</v>
      </c>
      <c r="J811" s="3">
        <v>0</v>
      </c>
      <c r="K811" s="60">
        <f>I811+J811</f>
        <v>520000</v>
      </c>
      <c r="L811" s="133"/>
      <c r="M811" s="60">
        <f>K811+L811</f>
        <v>520000</v>
      </c>
      <c r="N811" s="133">
        <v>-500000</v>
      </c>
      <c r="O811" s="60">
        <f>M811+N811</f>
        <v>20000</v>
      </c>
      <c r="P811" s="133"/>
      <c r="Q811" s="60">
        <f>O811+P811</f>
        <v>20000</v>
      </c>
    </row>
    <row r="812" spans="2:17" ht="78.75">
      <c r="B812" s="30" t="s">
        <v>451</v>
      </c>
      <c r="C812" s="8"/>
      <c r="D812" s="46" t="s">
        <v>166</v>
      </c>
      <c r="E812" s="8" t="s">
        <v>414</v>
      </c>
      <c r="F812" s="8"/>
      <c r="G812" s="60">
        <f>G813</f>
        <v>0</v>
      </c>
      <c r="H812" s="3"/>
      <c r="I812" s="60">
        <f>I813</f>
        <v>200000</v>
      </c>
      <c r="J812" s="3"/>
      <c r="K812" s="60">
        <f>K813</f>
        <v>200000</v>
      </c>
      <c r="L812" s="133"/>
      <c r="M812" s="60">
        <f>M813</f>
        <v>200000</v>
      </c>
      <c r="N812" s="133"/>
      <c r="O812" s="60">
        <f>O813</f>
        <v>200000</v>
      </c>
      <c r="P812" s="133"/>
      <c r="Q812" s="60">
        <f>Q813</f>
        <v>200000</v>
      </c>
    </row>
    <row r="813" spans="2:17" ht="47.25" customHeight="1">
      <c r="B813" s="7" t="s">
        <v>381</v>
      </c>
      <c r="C813" s="8"/>
      <c r="D813" s="46" t="s">
        <v>166</v>
      </c>
      <c r="E813" s="8" t="s">
        <v>414</v>
      </c>
      <c r="F813" s="8" t="s">
        <v>360</v>
      </c>
      <c r="G813" s="60">
        <v>0</v>
      </c>
      <c r="H813" s="3">
        <v>200000</v>
      </c>
      <c r="I813" s="60">
        <f>G813+H813</f>
        <v>200000</v>
      </c>
      <c r="J813" s="3">
        <v>0</v>
      </c>
      <c r="K813" s="60">
        <f>I813+J813</f>
        <v>200000</v>
      </c>
      <c r="L813" s="133"/>
      <c r="M813" s="60">
        <f>K813+L813</f>
        <v>200000</v>
      </c>
      <c r="N813" s="133"/>
      <c r="O813" s="60">
        <f>M813+N813</f>
        <v>200000</v>
      </c>
      <c r="P813" s="133"/>
      <c r="Q813" s="60">
        <f>O813+P813</f>
        <v>200000</v>
      </c>
    </row>
    <row r="814" spans="2:17" ht="15.75">
      <c r="B814" s="30" t="s">
        <v>403</v>
      </c>
      <c r="C814" s="8"/>
      <c r="D814" s="46" t="s">
        <v>404</v>
      </c>
      <c r="E814" s="8"/>
      <c r="F814" s="8"/>
      <c r="G814" s="60" t="e">
        <f>G815+G825</f>
        <v>#REF!</v>
      </c>
      <c r="H814" s="3"/>
      <c r="I814" s="60">
        <f>I815+I825+I823</f>
        <v>12491600</v>
      </c>
      <c r="J814" s="3"/>
      <c r="K814" s="60">
        <f>K815+K825+K823</f>
        <v>12141600</v>
      </c>
      <c r="L814" s="133"/>
      <c r="M814" s="60">
        <f>M815+M825+M823+M830</f>
        <v>16605600</v>
      </c>
      <c r="N814" s="133"/>
      <c r="O814" s="60">
        <f>O815+O825+O823+O830</f>
        <v>15835600</v>
      </c>
      <c r="P814" s="133"/>
      <c r="Q814" s="60">
        <f>Q815+Q825+Q823+Q830</f>
        <v>15791991</v>
      </c>
    </row>
    <row r="815" spans="2:17" ht="15.75">
      <c r="B815" s="30" t="s">
        <v>406</v>
      </c>
      <c r="C815" s="8"/>
      <c r="D815" s="46" t="s">
        <v>404</v>
      </c>
      <c r="E815" s="8" t="s">
        <v>405</v>
      </c>
      <c r="F815" s="8"/>
      <c r="G815" s="60">
        <f>G816</f>
        <v>0</v>
      </c>
      <c r="H815" s="3"/>
      <c r="I815" s="60">
        <f>I816</f>
        <v>11776000</v>
      </c>
      <c r="J815" s="3"/>
      <c r="K815" s="60">
        <f>K816</f>
        <v>11426000</v>
      </c>
      <c r="L815" s="133"/>
      <c r="M815" s="60">
        <f>M816</f>
        <v>11426000</v>
      </c>
      <c r="N815" s="133"/>
      <c r="O815" s="60">
        <f>O816</f>
        <v>10656000</v>
      </c>
      <c r="P815" s="133"/>
      <c r="Q815" s="60">
        <f>Q816</f>
        <v>10588391</v>
      </c>
    </row>
    <row r="816" spans="2:17" ht="15.75">
      <c r="B816" s="30" t="s">
        <v>407</v>
      </c>
      <c r="C816" s="8"/>
      <c r="D816" s="46" t="s">
        <v>404</v>
      </c>
      <c r="E816" s="8" t="s">
        <v>408</v>
      </c>
      <c r="F816" s="8"/>
      <c r="G816" s="60">
        <f>G817+G819+G821</f>
        <v>0</v>
      </c>
      <c r="H816" s="3"/>
      <c r="I816" s="60">
        <f>I817+I819+I821</f>
        <v>11776000</v>
      </c>
      <c r="J816" s="3"/>
      <c r="K816" s="60">
        <f>K817+K819+K821</f>
        <v>11426000</v>
      </c>
      <c r="L816" s="133"/>
      <c r="M816" s="60">
        <f>M817+M819+M821</f>
        <v>11426000</v>
      </c>
      <c r="N816" s="133"/>
      <c r="O816" s="60">
        <f>O817+O819+O821</f>
        <v>10656000</v>
      </c>
      <c r="P816" s="133"/>
      <c r="Q816" s="60">
        <f>Q817+Q819+Q821</f>
        <v>10588391</v>
      </c>
    </row>
    <row r="817" spans="2:17" ht="34.5" customHeight="1">
      <c r="B817" s="30" t="s">
        <v>412</v>
      </c>
      <c r="C817" s="8"/>
      <c r="D817" s="46" t="s">
        <v>404</v>
      </c>
      <c r="E817" s="8" t="s">
        <v>409</v>
      </c>
      <c r="F817" s="8"/>
      <c r="G817" s="60">
        <f>G818</f>
        <v>0</v>
      </c>
      <c r="H817" s="3"/>
      <c r="I817" s="60">
        <f>I818</f>
        <v>11776000</v>
      </c>
      <c r="J817" s="3"/>
      <c r="K817" s="60">
        <f>K818</f>
        <v>11426000</v>
      </c>
      <c r="L817" s="133"/>
      <c r="M817" s="60">
        <f>M818</f>
        <v>11426000</v>
      </c>
      <c r="N817" s="133"/>
      <c r="O817" s="60">
        <f>O818</f>
        <v>10656000</v>
      </c>
      <c r="P817" s="133"/>
      <c r="Q817" s="60">
        <f>Q818</f>
        <v>10588391</v>
      </c>
    </row>
    <row r="818" spans="2:17" ht="33.75" customHeight="1">
      <c r="B818" s="7" t="s">
        <v>382</v>
      </c>
      <c r="C818" s="8"/>
      <c r="D818" s="46" t="s">
        <v>404</v>
      </c>
      <c r="E818" s="8" t="s">
        <v>409</v>
      </c>
      <c r="F818" s="8" t="s">
        <v>328</v>
      </c>
      <c r="G818" s="60">
        <v>0</v>
      </c>
      <c r="H818" s="3">
        <v>11776000</v>
      </c>
      <c r="I818" s="60">
        <f>G818+H818</f>
        <v>11776000</v>
      </c>
      <c r="J818" s="3">
        <v>-350000</v>
      </c>
      <c r="K818" s="60">
        <f>I818+J818</f>
        <v>11426000</v>
      </c>
      <c r="L818" s="133"/>
      <c r="M818" s="60">
        <f>K818+L818</f>
        <v>11426000</v>
      </c>
      <c r="N818" s="133">
        <f>30000-800000</f>
        <v>-770000</v>
      </c>
      <c r="O818" s="60">
        <f>M818+N818</f>
        <v>10656000</v>
      </c>
      <c r="P818" s="133">
        <f>-24000+20000-63609</f>
        <v>-67609</v>
      </c>
      <c r="Q818" s="60">
        <f>O818+P818</f>
        <v>10588391</v>
      </c>
    </row>
    <row r="819" spans="2:17" ht="38.25" customHeight="1" hidden="1">
      <c r="B819" s="30" t="s">
        <v>415</v>
      </c>
      <c r="C819" s="8"/>
      <c r="D819" s="46" t="s">
        <v>404</v>
      </c>
      <c r="E819" s="8" t="s">
        <v>410</v>
      </c>
      <c r="F819" s="8"/>
      <c r="G819" s="60">
        <f>G820</f>
        <v>0</v>
      </c>
      <c r="H819" s="3"/>
      <c r="I819" s="60">
        <f>I820</f>
        <v>0</v>
      </c>
      <c r="J819" s="3"/>
      <c r="K819" s="60">
        <f>K820</f>
        <v>0</v>
      </c>
      <c r="L819" s="133"/>
      <c r="M819" s="60">
        <f>M820</f>
        <v>0</v>
      </c>
      <c r="N819" s="133"/>
      <c r="O819" s="60">
        <f>O820</f>
        <v>0</v>
      </c>
      <c r="P819" s="133"/>
      <c r="Q819" s="60">
        <f>Q820</f>
        <v>0</v>
      </c>
    </row>
    <row r="820" spans="2:17" ht="31.5" customHeight="1" hidden="1">
      <c r="B820" s="7" t="s">
        <v>382</v>
      </c>
      <c r="C820" s="8"/>
      <c r="D820" s="46" t="s">
        <v>404</v>
      </c>
      <c r="E820" s="8" t="s">
        <v>410</v>
      </c>
      <c r="F820" s="8" t="s">
        <v>328</v>
      </c>
      <c r="G820" s="60">
        <v>0</v>
      </c>
      <c r="H820" s="3">
        <v>0</v>
      </c>
      <c r="I820" s="60">
        <f>G820+H820</f>
        <v>0</v>
      </c>
      <c r="J820" s="3">
        <v>0</v>
      </c>
      <c r="K820" s="60">
        <f>I820+J820</f>
        <v>0</v>
      </c>
      <c r="L820" s="133"/>
      <c r="M820" s="60">
        <f>K820+L820</f>
        <v>0</v>
      </c>
      <c r="N820" s="133"/>
      <c r="O820" s="60">
        <f>M820+N820</f>
        <v>0</v>
      </c>
      <c r="P820" s="133"/>
      <c r="Q820" s="60">
        <f>O820+P820</f>
        <v>0</v>
      </c>
    </row>
    <row r="821" spans="2:17" ht="63.75" customHeight="1" hidden="1">
      <c r="B821" s="30" t="s">
        <v>417</v>
      </c>
      <c r="C821" s="8"/>
      <c r="D821" s="46" t="s">
        <v>404</v>
      </c>
      <c r="E821" s="8" t="s">
        <v>411</v>
      </c>
      <c r="F821" s="8"/>
      <c r="G821" s="60">
        <f>G822</f>
        <v>0</v>
      </c>
      <c r="H821" s="3"/>
      <c r="I821" s="60">
        <f>I822</f>
        <v>0</v>
      </c>
      <c r="J821" s="3"/>
      <c r="K821" s="60">
        <f>K822</f>
        <v>0</v>
      </c>
      <c r="L821" s="133"/>
      <c r="M821" s="60">
        <f>M822</f>
        <v>0</v>
      </c>
      <c r="N821" s="133"/>
      <c r="O821" s="60">
        <f>O822</f>
        <v>0</v>
      </c>
      <c r="P821" s="133"/>
      <c r="Q821" s="60">
        <f>Q822</f>
        <v>0</v>
      </c>
    </row>
    <row r="822" spans="2:17" ht="34.5" customHeight="1" hidden="1">
      <c r="B822" s="7" t="s">
        <v>382</v>
      </c>
      <c r="C822" s="8"/>
      <c r="D822" s="46" t="s">
        <v>404</v>
      </c>
      <c r="E822" s="8" t="s">
        <v>411</v>
      </c>
      <c r="F822" s="8" t="s">
        <v>328</v>
      </c>
      <c r="G822" s="60">
        <v>0</v>
      </c>
      <c r="H822" s="3"/>
      <c r="I822" s="60">
        <f>G822+H822</f>
        <v>0</v>
      </c>
      <c r="J822" s="3"/>
      <c r="K822" s="60">
        <f>I822+J822</f>
        <v>0</v>
      </c>
      <c r="L822" s="133"/>
      <c r="M822" s="60">
        <f>K822+L822</f>
        <v>0</v>
      </c>
      <c r="N822" s="133"/>
      <c r="O822" s="60">
        <f>M822+N822</f>
        <v>0</v>
      </c>
      <c r="P822" s="133"/>
      <c r="Q822" s="60">
        <f>O822+P822</f>
        <v>0</v>
      </c>
    </row>
    <row r="823" spans="2:17" ht="51.75" customHeight="1" hidden="1">
      <c r="B823" s="105" t="s">
        <v>459</v>
      </c>
      <c r="C823" s="97" t="s">
        <v>200</v>
      </c>
      <c r="D823" s="98" t="s">
        <v>404</v>
      </c>
      <c r="E823" s="97" t="s">
        <v>457</v>
      </c>
      <c r="F823" s="97"/>
      <c r="G823" s="60"/>
      <c r="H823" s="3"/>
      <c r="I823" s="60">
        <f>I824</f>
        <v>0</v>
      </c>
      <c r="J823" s="3"/>
      <c r="K823" s="60">
        <f>K824</f>
        <v>0</v>
      </c>
      <c r="L823" s="133"/>
      <c r="M823" s="60">
        <f>M824</f>
        <v>0</v>
      </c>
      <c r="N823" s="133"/>
      <c r="O823" s="60">
        <f>O824</f>
        <v>0</v>
      </c>
      <c r="P823" s="133"/>
      <c r="Q823" s="60">
        <f>Q824</f>
        <v>0</v>
      </c>
    </row>
    <row r="824" spans="2:17" ht="34.5" customHeight="1" hidden="1">
      <c r="B824" s="105" t="s">
        <v>382</v>
      </c>
      <c r="C824" s="97" t="s">
        <v>200</v>
      </c>
      <c r="D824" s="98" t="s">
        <v>404</v>
      </c>
      <c r="E824" s="97" t="s">
        <v>457</v>
      </c>
      <c r="F824" s="97" t="s">
        <v>328</v>
      </c>
      <c r="G824" s="60"/>
      <c r="H824" s="3">
        <v>0</v>
      </c>
      <c r="I824" s="60">
        <f>G824+H824</f>
        <v>0</v>
      </c>
      <c r="J824" s="3">
        <v>0</v>
      </c>
      <c r="K824" s="60">
        <f>I824+J824</f>
        <v>0</v>
      </c>
      <c r="L824" s="133"/>
      <c r="M824" s="60">
        <f>K824+L824</f>
        <v>0</v>
      </c>
      <c r="N824" s="133"/>
      <c r="O824" s="60">
        <f>M824+N824</f>
        <v>0</v>
      </c>
      <c r="P824" s="133"/>
      <c r="Q824" s="60">
        <f>O824+P824</f>
        <v>0</v>
      </c>
    </row>
    <row r="825" spans="2:17" ht="18.75" customHeight="1">
      <c r="B825" s="12" t="s">
        <v>313</v>
      </c>
      <c r="C825" s="97" t="s">
        <v>200</v>
      </c>
      <c r="D825" s="98" t="s">
        <v>404</v>
      </c>
      <c r="E825" s="97" t="s">
        <v>104</v>
      </c>
      <c r="F825" s="97"/>
      <c r="G825" s="79" t="e">
        <f>#REF!</f>
        <v>#REF!</v>
      </c>
      <c r="H825" s="97"/>
      <c r="I825" s="60">
        <f>I826+I828</f>
        <v>715600</v>
      </c>
      <c r="J825" s="97"/>
      <c r="K825" s="60">
        <f>K826+K828</f>
        <v>715600</v>
      </c>
      <c r="L825" s="151"/>
      <c r="M825" s="60">
        <f>M826+M828</f>
        <v>715600</v>
      </c>
      <c r="N825" s="151"/>
      <c r="O825" s="60">
        <f>O826+O828</f>
        <v>715600</v>
      </c>
      <c r="P825" s="151"/>
      <c r="Q825" s="60">
        <f>Q826+Q828</f>
        <v>739600</v>
      </c>
    </row>
    <row r="826" spans="2:17" ht="63">
      <c r="B826" s="109" t="s">
        <v>444</v>
      </c>
      <c r="C826" s="103" t="s">
        <v>200</v>
      </c>
      <c r="D826" s="101" t="s">
        <v>404</v>
      </c>
      <c r="E826" s="103" t="s">
        <v>471</v>
      </c>
      <c r="F826" s="103"/>
      <c r="G826" s="79">
        <f>G827</f>
        <v>0</v>
      </c>
      <c r="H826" s="97"/>
      <c r="I826" s="60">
        <f>I827</f>
        <v>300000</v>
      </c>
      <c r="J826" s="97"/>
      <c r="K826" s="60">
        <f>K827</f>
        <v>300000</v>
      </c>
      <c r="L826" s="151"/>
      <c r="M826" s="60">
        <f>M827</f>
        <v>300000</v>
      </c>
      <c r="N826" s="151"/>
      <c r="O826" s="60">
        <f>O827</f>
        <v>300000</v>
      </c>
      <c r="P826" s="151"/>
      <c r="Q826" s="60">
        <f>Q827</f>
        <v>324000</v>
      </c>
    </row>
    <row r="827" spans="2:17" ht="37.5" customHeight="1">
      <c r="B827" s="105" t="s">
        <v>382</v>
      </c>
      <c r="C827" s="103" t="s">
        <v>200</v>
      </c>
      <c r="D827" s="101" t="s">
        <v>404</v>
      </c>
      <c r="E827" s="103" t="s">
        <v>471</v>
      </c>
      <c r="F827" s="103" t="s">
        <v>328</v>
      </c>
      <c r="G827" s="79">
        <v>0</v>
      </c>
      <c r="H827" s="97" t="s">
        <v>464</v>
      </c>
      <c r="I827" s="60">
        <f>G827+H827</f>
        <v>300000</v>
      </c>
      <c r="J827" s="97" t="s">
        <v>402</v>
      </c>
      <c r="K827" s="60">
        <f>I827+J827</f>
        <v>300000</v>
      </c>
      <c r="L827" s="151"/>
      <c r="M827" s="60">
        <f>K827+L827</f>
        <v>300000</v>
      </c>
      <c r="N827" s="151" t="s">
        <v>402</v>
      </c>
      <c r="O827" s="60">
        <f>M827+N827</f>
        <v>300000</v>
      </c>
      <c r="P827" s="151" t="s">
        <v>553</v>
      </c>
      <c r="Q827" s="60">
        <f>O827+P827</f>
        <v>324000</v>
      </c>
    </row>
    <row r="828" spans="2:17" ht="72.75" customHeight="1">
      <c r="B828" s="96" t="s">
        <v>564</v>
      </c>
      <c r="C828" s="103" t="s">
        <v>200</v>
      </c>
      <c r="D828" s="101" t="s">
        <v>404</v>
      </c>
      <c r="E828" s="103" t="s">
        <v>291</v>
      </c>
      <c r="F828" s="103"/>
      <c r="G828" s="79">
        <f>G829</f>
        <v>0</v>
      </c>
      <c r="H828" s="97"/>
      <c r="I828" s="60">
        <f>I829</f>
        <v>415600</v>
      </c>
      <c r="J828" s="97"/>
      <c r="K828" s="60">
        <f>K829</f>
        <v>415600</v>
      </c>
      <c r="L828" s="151"/>
      <c r="M828" s="60">
        <f>M829</f>
        <v>415600</v>
      </c>
      <c r="N828" s="151"/>
      <c r="O828" s="60">
        <f>O829</f>
        <v>415600</v>
      </c>
      <c r="P828" s="151"/>
      <c r="Q828" s="60">
        <f>Q829</f>
        <v>415600</v>
      </c>
    </row>
    <row r="829" spans="2:17" ht="37.5" customHeight="1">
      <c r="B829" s="105" t="s">
        <v>382</v>
      </c>
      <c r="C829" s="103" t="s">
        <v>200</v>
      </c>
      <c r="D829" s="101" t="s">
        <v>404</v>
      </c>
      <c r="E829" s="103" t="s">
        <v>291</v>
      </c>
      <c r="F829" s="103" t="s">
        <v>328</v>
      </c>
      <c r="G829" s="79">
        <v>0</v>
      </c>
      <c r="H829" s="97" t="s">
        <v>465</v>
      </c>
      <c r="I829" s="60">
        <f>G829+H829</f>
        <v>415600</v>
      </c>
      <c r="J829" s="97" t="s">
        <v>402</v>
      </c>
      <c r="K829" s="60">
        <f>I829+J829</f>
        <v>415600</v>
      </c>
      <c r="L829" s="151"/>
      <c r="M829" s="60">
        <f>K829+L829</f>
        <v>415600</v>
      </c>
      <c r="N829" s="151"/>
      <c r="O829" s="60">
        <f>M829+N829</f>
        <v>415600</v>
      </c>
      <c r="P829" s="151"/>
      <c r="Q829" s="60">
        <f>O829+P829</f>
        <v>415600</v>
      </c>
    </row>
    <row r="830" spans="2:17" ht="31.5">
      <c r="B830" s="107" t="s">
        <v>565</v>
      </c>
      <c r="C830" s="97"/>
      <c r="D830" s="98" t="s">
        <v>404</v>
      </c>
      <c r="E830" s="97" t="s">
        <v>513</v>
      </c>
      <c r="F830" s="97"/>
      <c r="G830" s="79"/>
      <c r="H830" s="97"/>
      <c r="I830" s="60"/>
      <c r="J830" s="97"/>
      <c r="K830" s="60"/>
      <c r="L830" s="151"/>
      <c r="M830" s="60">
        <f>M831</f>
        <v>4464000</v>
      </c>
      <c r="N830" s="151"/>
      <c r="O830" s="60">
        <f>O831</f>
        <v>4464000</v>
      </c>
      <c r="P830" s="151"/>
      <c r="Q830" s="60">
        <f>Q831</f>
        <v>4464000</v>
      </c>
    </row>
    <row r="831" spans="2:17" ht="53.25" customHeight="1">
      <c r="B831" s="107" t="s">
        <v>400</v>
      </c>
      <c r="C831" s="97"/>
      <c r="D831" s="98" t="s">
        <v>404</v>
      </c>
      <c r="E831" s="97" t="s">
        <v>401</v>
      </c>
      <c r="F831" s="97"/>
      <c r="G831" s="79"/>
      <c r="H831" s="97"/>
      <c r="I831" s="60"/>
      <c r="J831" s="97"/>
      <c r="K831" s="60"/>
      <c r="L831" s="151"/>
      <c r="M831" s="60">
        <f>M832</f>
        <v>4464000</v>
      </c>
      <c r="N831" s="151"/>
      <c r="O831" s="60">
        <f>O832</f>
        <v>4464000</v>
      </c>
      <c r="P831" s="151"/>
      <c r="Q831" s="60">
        <f>Q832</f>
        <v>4464000</v>
      </c>
    </row>
    <row r="832" spans="2:17" ht="39" customHeight="1">
      <c r="B832" s="96" t="s">
        <v>511</v>
      </c>
      <c r="C832" s="103"/>
      <c r="D832" s="101" t="s">
        <v>404</v>
      </c>
      <c r="E832" s="103" t="s">
        <v>512</v>
      </c>
      <c r="F832" s="103"/>
      <c r="G832" s="79"/>
      <c r="H832" s="97"/>
      <c r="I832" s="60"/>
      <c r="J832" s="97"/>
      <c r="K832" s="60"/>
      <c r="L832" s="151"/>
      <c r="M832" s="60">
        <f>M833</f>
        <v>4464000</v>
      </c>
      <c r="N832" s="151"/>
      <c r="O832" s="60">
        <f>O833</f>
        <v>4464000</v>
      </c>
      <c r="P832" s="151"/>
      <c r="Q832" s="60">
        <f>Q833</f>
        <v>4464000</v>
      </c>
    </row>
    <row r="833" spans="2:17" ht="39" customHeight="1">
      <c r="B833" s="105" t="s">
        <v>382</v>
      </c>
      <c r="C833" s="103"/>
      <c r="D833" s="101" t="s">
        <v>404</v>
      </c>
      <c r="E833" s="103" t="s">
        <v>512</v>
      </c>
      <c r="F833" s="103" t="s">
        <v>328</v>
      </c>
      <c r="G833" s="79"/>
      <c r="H833" s="97"/>
      <c r="I833" s="60"/>
      <c r="J833" s="97"/>
      <c r="K833" s="60"/>
      <c r="L833" s="151" t="s">
        <v>514</v>
      </c>
      <c r="M833" s="60">
        <f>K833+L833</f>
        <v>4464000</v>
      </c>
      <c r="N833" s="151" t="s">
        <v>402</v>
      </c>
      <c r="O833" s="60">
        <f>M833+N833</f>
        <v>4464000</v>
      </c>
      <c r="P833" s="151"/>
      <c r="Q833" s="60">
        <f>O833+P833</f>
        <v>4464000</v>
      </c>
    </row>
    <row r="834" spans="2:17" ht="21" customHeight="1">
      <c r="B834" s="7" t="s">
        <v>238</v>
      </c>
      <c r="C834" s="8"/>
      <c r="D834" s="46" t="s">
        <v>239</v>
      </c>
      <c r="E834" s="8"/>
      <c r="F834" s="8"/>
      <c r="G834" s="60" t="e">
        <f>#REF!+G835</f>
        <v>#REF!</v>
      </c>
      <c r="H834" s="3"/>
      <c r="I834" s="60" t="e">
        <f>#REF!+I835</f>
        <v>#REF!</v>
      </c>
      <c r="J834" s="3"/>
      <c r="K834" s="60">
        <f>K835</f>
        <v>46060</v>
      </c>
      <c r="L834" s="133"/>
      <c r="M834" s="60">
        <f>M835+M837</f>
        <v>202385.5</v>
      </c>
      <c r="N834" s="133"/>
      <c r="O834" s="60">
        <f>O835+O837</f>
        <v>206082.3</v>
      </c>
      <c r="P834" s="133"/>
      <c r="Q834" s="60">
        <f>Q835+Q837</f>
        <v>206082.3</v>
      </c>
    </row>
    <row r="835" spans="2:17" ht="37.5" customHeight="1">
      <c r="B835" s="31" t="s">
        <v>311</v>
      </c>
      <c r="C835" s="8" t="s">
        <v>200</v>
      </c>
      <c r="D835" s="8" t="s">
        <v>239</v>
      </c>
      <c r="E835" s="8" t="s">
        <v>262</v>
      </c>
      <c r="F835" s="8"/>
      <c r="G835" s="71">
        <f>G836</f>
        <v>0</v>
      </c>
      <c r="H835" s="52"/>
      <c r="I835" s="71">
        <f>I836</f>
        <v>46060</v>
      </c>
      <c r="J835" s="52"/>
      <c r="K835" s="71">
        <f>K836</f>
        <v>46060</v>
      </c>
      <c r="L835" s="138"/>
      <c r="M835" s="71">
        <f>M836</f>
        <v>82627.5</v>
      </c>
      <c r="N835" s="138"/>
      <c r="O835" s="71">
        <f>O836</f>
        <v>86324.3</v>
      </c>
      <c r="P835" s="138"/>
      <c r="Q835" s="71">
        <f>Q836</f>
        <v>86324.3</v>
      </c>
    </row>
    <row r="836" spans="2:17" ht="47.25">
      <c r="B836" s="12" t="s">
        <v>322</v>
      </c>
      <c r="C836" s="8" t="s">
        <v>200</v>
      </c>
      <c r="D836" s="8" t="s">
        <v>239</v>
      </c>
      <c r="E836" s="8" t="s">
        <v>262</v>
      </c>
      <c r="F836" s="8" t="s">
        <v>327</v>
      </c>
      <c r="G836" s="70">
        <v>0</v>
      </c>
      <c r="H836" s="52">
        <v>46060</v>
      </c>
      <c r="I836" s="70">
        <f>G836+H836</f>
        <v>46060</v>
      </c>
      <c r="J836" s="52">
        <v>0</v>
      </c>
      <c r="K836" s="70">
        <f>I836+J836</f>
        <v>46060</v>
      </c>
      <c r="L836" s="138">
        <v>36567.5</v>
      </c>
      <c r="M836" s="70">
        <f>K836+L836</f>
        <v>82627.5</v>
      </c>
      <c r="N836" s="138">
        <v>3696.8</v>
      </c>
      <c r="O836" s="70">
        <f>M836+N836</f>
        <v>86324.3</v>
      </c>
      <c r="P836" s="138"/>
      <c r="Q836" s="70">
        <f>O836+P836</f>
        <v>86324.3</v>
      </c>
    </row>
    <row r="837" spans="2:17" ht="33.75" customHeight="1">
      <c r="B837" s="31" t="s">
        <v>527</v>
      </c>
      <c r="C837" s="8"/>
      <c r="D837" s="8" t="s">
        <v>239</v>
      </c>
      <c r="E837" s="8" t="s">
        <v>298</v>
      </c>
      <c r="F837" s="8"/>
      <c r="G837" s="70"/>
      <c r="H837" s="52"/>
      <c r="I837" s="70"/>
      <c r="J837" s="52"/>
      <c r="K837" s="70"/>
      <c r="L837" s="138"/>
      <c r="M837" s="70">
        <f>M838</f>
        <v>119758</v>
      </c>
      <c r="N837" s="138"/>
      <c r="O837" s="70">
        <f>O838</f>
        <v>119758</v>
      </c>
      <c r="P837" s="138"/>
      <c r="Q837" s="70">
        <f>Q838</f>
        <v>119758</v>
      </c>
    </row>
    <row r="838" spans="2:17" ht="47.25">
      <c r="B838" s="31" t="s">
        <v>322</v>
      </c>
      <c r="C838" s="8"/>
      <c r="D838" s="8" t="s">
        <v>239</v>
      </c>
      <c r="E838" s="8" t="s">
        <v>298</v>
      </c>
      <c r="F838" s="8" t="s">
        <v>327</v>
      </c>
      <c r="G838" s="70"/>
      <c r="H838" s="52"/>
      <c r="I838" s="70"/>
      <c r="J838" s="52"/>
      <c r="K838" s="70"/>
      <c r="L838" s="138">
        <v>119758</v>
      </c>
      <c r="M838" s="70">
        <f>K838+L838</f>
        <v>119758</v>
      </c>
      <c r="N838" s="138">
        <v>0</v>
      </c>
      <c r="O838" s="70">
        <f>M838+N838</f>
        <v>119758</v>
      </c>
      <c r="P838" s="138"/>
      <c r="Q838" s="70">
        <f>O838+P838</f>
        <v>119758</v>
      </c>
    </row>
    <row r="839" spans="2:17" ht="30.75" customHeight="1">
      <c r="B839" s="7" t="s">
        <v>39</v>
      </c>
      <c r="C839" s="8"/>
      <c r="D839" s="46" t="s">
        <v>40</v>
      </c>
      <c r="E839" s="8"/>
      <c r="F839" s="8"/>
      <c r="G839" s="60" t="e">
        <f>G840+G843+#REF!</f>
        <v>#REF!</v>
      </c>
      <c r="H839" s="3"/>
      <c r="I839" s="60">
        <f>I840+I843</f>
        <v>4591000</v>
      </c>
      <c r="J839" s="3"/>
      <c r="K839" s="60">
        <f>K840+K843</f>
        <v>4491000</v>
      </c>
      <c r="L839" s="133"/>
      <c r="M839" s="60">
        <f>M840+M843+M850</f>
        <v>11936500</v>
      </c>
      <c r="N839" s="133"/>
      <c r="O839" s="60">
        <f>O840+O843+O850</f>
        <v>11806500</v>
      </c>
      <c r="P839" s="133"/>
      <c r="Q839" s="60">
        <f>Q840+Q843+Q850</f>
        <v>9794833.33</v>
      </c>
    </row>
    <row r="840" spans="2:17" ht="33" customHeight="1">
      <c r="B840" s="31" t="s">
        <v>188</v>
      </c>
      <c r="C840" s="8"/>
      <c r="D840" s="46" t="s">
        <v>40</v>
      </c>
      <c r="E840" s="8" t="s">
        <v>189</v>
      </c>
      <c r="F840" s="8"/>
      <c r="G840" s="60" t="e">
        <f>#REF!+G841</f>
        <v>#REF!</v>
      </c>
      <c r="H840" s="3"/>
      <c r="I840" s="60">
        <f>I841</f>
        <v>100000</v>
      </c>
      <c r="J840" s="3"/>
      <c r="K840" s="60">
        <f>K841</f>
        <v>100000</v>
      </c>
      <c r="L840" s="133"/>
      <c r="M840" s="60">
        <f>M841</f>
        <v>100000</v>
      </c>
      <c r="N840" s="133"/>
      <c r="O840" s="60">
        <f>O841</f>
        <v>100000</v>
      </c>
      <c r="P840" s="133"/>
      <c r="Q840" s="60">
        <f>Q841</f>
        <v>100000</v>
      </c>
    </row>
    <row r="841" spans="2:17" ht="33" customHeight="1">
      <c r="B841" s="31" t="s">
        <v>418</v>
      </c>
      <c r="C841" s="8"/>
      <c r="D841" s="46" t="s">
        <v>40</v>
      </c>
      <c r="E841" s="8" t="s">
        <v>419</v>
      </c>
      <c r="F841" s="8"/>
      <c r="G841" s="60">
        <f>G842</f>
        <v>0</v>
      </c>
      <c r="H841" s="3"/>
      <c r="I841" s="60">
        <f>I842</f>
        <v>100000</v>
      </c>
      <c r="J841" s="3"/>
      <c r="K841" s="60">
        <f>K842</f>
        <v>100000</v>
      </c>
      <c r="L841" s="133"/>
      <c r="M841" s="60">
        <f>M842</f>
        <v>100000</v>
      </c>
      <c r="N841" s="133"/>
      <c r="O841" s="60">
        <f>O842</f>
        <v>100000</v>
      </c>
      <c r="P841" s="133"/>
      <c r="Q841" s="60">
        <f>Q842</f>
        <v>100000</v>
      </c>
    </row>
    <row r="842" spans="2:17" ht="63">
      <c r="B842" s="16" t="s">
        <v>381</v>
      </c>
      <c r="C842" s="46"/>
      <c r="D842" s="46" t="s">
        <v>40</v>
      </c>
      <c r="E842" s="46" t="s">
        <v>419</v>
      </c>
      <c r="F842" s="46" t="s">
        <v>360</v>
      </c>
      <c r="G842" s="60">
        <v>0</v>
      </c>
      <c r="H842" s="3">
        <v>100000</v>
      </c>
      <c r="I842" s="60">
        <f>G842+H842</f>
        <v>100000</v>
      </c>
      <c r="J842" s="3">
        <v>0</v>
      </c>
      <c r="K842" s="60">
        <f>I842+J842</f>
        <v>100000</v>
      </c>
      <c r="L842" s="133"/>
      <c r="M842" s="60">
        <f>K842+L842</f>
        <v>100000</v>
      </c>
      <c r="N842" s="133"/>
      <c r="O842" s="60">
        <f>M842+N842</f>
        <v>100000</v>
      </c>
      <c r="P842" s="133"/>
      <c r="Q842" s="60">
        <f>O842+P842</f>
        <v>100000</v>
      </c>
    </row>
    <row r="843" spans="2:17" ht="19.5" customHeight="1">
      <c r="B843" s="12" t="s">
        <v>313</v>
      </c>
      <c r="C843" s="8"/>
      <c r="D843" s="46" t="s">
        <v>40</v>
      </c>
      <c r="E843" s="8" t="s">
        <v>104</v>
      </c>
      <c r="F843" s="8"/>
      <c r="G843" s="60">
        <f>G844+G846+G848</f>
        <v>0</v>
      </c>
      <c r="H843" s="3"/>
      <c r="I843" s="60">
        <f>I844+I846+I848</f>
        <v>4491000</v>
      </c>
      <c r="J843" s="3"/>
      <c r="K843" s="60">
        <f>K844+K846+K848</f>
        <v>4391000</v>
      </c>
      <c r="L843" s="133"/>
      <c r="M843" s="60">
        <f>M844+M846+M848</f>
        <v>4391000</v>
      </c>
      <c r="N843" s="133"/>
      <c r="O843" s="60">
        <f>O844+O846+O848</f>
        <v>4261000</v>
      </c>
      <c r="P843" s="133"/>
      <c r="Q843" s="60">
        <f>Q844+Q846+Q848</f>
        <v>2249333.33</v>
      </c>
    </row>
    <row r="844" spans="2:17" ht="47.25">
      <c r="B844" s="23" t="s">
        <v>434</v>
      </c>
      <c r="C844" s="6"/>
      <c r="D844" s="44" t="s">
        <v>40</v>
      </c>
      <c r="E844" s="6" t="s">
        <v>263</v>
      </c>
      <c r="F844" s="6"/>
      <c r="G844" s="60">
        <f>G845</f>
        <v>0</v>
      </c>
      <c r="H844" s="3"/>
      <c r="I844" s="60">
        <f>I845</f>
        <v>2493000</v>
      </c>
      <c r="J844" s="3"/>
      <c r="K844" s="60">
        <f>K845</f>
        <v>2493000</v>
      </c>
      <c r="L844" s="133"/>
      <c r="M844" s="60">
        <f>M845</f>
        <v>2493000</v>
      </c>
      <c r="N844" s="133"/>
      <c r="O844" s="60">
        <f>O845</f>
        <v>2493000</v>
      </c>
      <c r="P844" s="133"/>
      <c r="Q844" s="60">
        <f>Q845</f>
        <v>481333.3300000001</v>
      </c>
    </row>
    <row r="845" spans="2:17" ht="34.5" customHeight="1">
      <c r="B845" s="7" t="s">
        <v>380</v>
      </c>
      <c r="C845" s="6"/>
      <c r="D845" s="44" t="s">
        <v>40</v>
      </c>
      <c r="E845" s="6" t="s">
        <v>263</v>
      </c>
      <c r="F845" s="6" t="s">
        <v>328</v>
      </c>
      <c r="G845" s="60">
        <v>0</v>
      </c>
      <c r="H845" s="3">
        <v>2493000</v>
      </c>
      <c r="I845" s="60">
        <f>G845+H845</f>
        <v>2493000</v>
      </c>
      <c r="J845" s="3">
        <v>0</v>
      </c>
      <c r="K845" s="60">
        <f>I845+J845</f>
        <v>2493000</v>
      </c>
      <c r="L845" s="133"/>
      <c r="M845" s="60">
        <f>K845+L845</f>
        <v>2493000</v>
      </c>
      <c r="N845" s="133"/>
      <c r="O845" s="60">
        <f>M845+N845</f>
        <v>2493000</v>
      </c>
      <c r="P845" s="133">
        <v>-2011666.67</v>
      </c>
      <c r="Q845" s="60">
        <f>O845+P845</f>
        <v>481333.3300000001</v>
      </c>
    </row>
    <row r="846" spans="2:17" ht="47.25" customHeight="1">
      <c r="B846" s="23" t="s">
        <v>484</v>
      </c>
      <c r="C846" s="44"/>
      <c r="D846" s="44" t="s">
        <v>40</v>
      </c>
      <c r="E846" s="44" t="s">
        <v>264</v>
      </c>
      <c r="F846" s="44"/>
      <c r="G846" s="60">
        <f>G847</f>
        <v>0</v>
      </c>
      <c r="H846" s="40"/>
      <c r="I846" s="60">
        <f>I847</f>
        <v>1740000</v>
      </c>
      <c r="J846" s="40"/>
      <c r="K846" s="60">
        <f>K847</f>
        <v>1640000</v>
      </c>
      <c r="L846" s="135"/>
      <c r="M846" s="60">
        <f>M847</f>
        <v>1640000</v>
      </c>
      <c r="N846" s="135"/>
      <c r="O846" s="60">
        <f>O847</f>
        <v>1510000</v>
      </c>
      <c r="P846" s="135"/>
      <c r="Q846" s="60">
        <f>Q847</f>
        <v>1510000</v>
      </c>
    </row>
    <row r="847" spans="2:17" ht="34.5" customHeight="1">
      <c r="B847" s="7" t="s">
        <v>382</v>
      </c>
      <c r="C847" s="6"/>
      <c r="D847" s="44" t="s">
        <v>40</v>
      </c>
      <c r="E847" s="6" t="s">
        <v>264</v>
      </c>
      <c r="F847" s="6" t="s">
        <v>328</v>
      </c>
      <c r="G847" s="60">
        <v>0</v>
      </c>
      <c r="H847" s="3">
        <v>1740000</v>
      </c>
      <c r="I847" s="60">
        <f>G847+H847</f>
        <v>1740000</v>
      </c>
      <c r="J847" s="3">
        <v>-100000</v>
      </c>
      <c r="K847" s="60">
        <f>I847+J847</f>
        <v>1640000</v>
      </c>
      <c r="L847" s="133"/>
      <c r="M847" s="60">
        <f>K847+L847</f>
        <v>1640000</v>
      </c>
      <c r="N847" s="133">
        <f>-100000-30000</f>
        <v>-130000</v>
      </c>
      <c r="O847" s="60">
        <f>M847+N847</f>
        <v>1510000</v>
      </c>
      <c r="P847" s="133"/>
      <c r="Q847" s="60">
        <f>O847+P847</f>
        <v>1510000</v>
      </c>
    </row>
    <row r="848" spans="2:17" ht="54.75" customHeight="1">
      <c r="B848" s="32" t="s">
        <v>391</v>
      </c>
      <c r="C848" s="46" t="s">
        <v>200</v>
      </c>
      <c r="D848" s="46" t="s">
        <v>40</v>
      </c>
      <c r="E848" s="46" t="s">
        <v>296</v>
      </c>
      <c r="F848" s="46"/>
      <c r="G848" s="60">
        <f>G849</f>
        <v>0</v>
      </c>
      <c r="H848" s="40"/>
      <c r="I848" s="60">
        <f>I849</f>
        <v>258000</v>
      </c>
      <c r="J848" s="40"/>
      <c r="K848" s="60">
        <f>K849</f>
        <v>258000</v>
      </c>
      <c r="L848" s="135"/>
      <c r="M848" s="60">
        <f>M849</f>
        <v>258000</v>
      </c>
      <c r="N848" s="135"/>
      <c r="O848" s="60">
        <f>O849</f>
        <v>258000</v>
      </c>
      <c r="P848" s="135"/>
      <c r="Q848" s="60">
        <f>Q849</f>
        <v>258000</v>
      </c>
    </row>
    <row r="849" spans="2:17" ht="17.25" customHeight="1">
      <c r="B849" s="32" t="s">
        <v>334</v>
      </c>
      <c r="C849" s="46" t="s">
        <v>200</v>
      </c>
      <c r="D849" s="46" t="s">
        <v>40</v>
      </c>
      <c r="E849" s="46" t="s">
        <v>296</v>
      </c>
      <c r="F849" s="46" t="s">
        <v>335</v>
      </c>
      <c r="G849" s="60">
        <v>0</v>
      </c>
      <c r="H849" s="40">
        <v>258000</v>
      </c>
      <c r="I849" s="60">
        <f>G849+H849</f>
        <v>258000</v>
      </c>
      <c r="J849" s="40">
        <v>0</v>
      </c>
      <c r="K849" s="60">
        <f>I849+J849</f>
        <v>258000</v>
      </c>
      <c r="L849" s="135"/>
      <c r="M849" s="60">
        <f>K849+L849</f>
        <v>258000</v>
      </c>
      <c r="N849" s="135"/>
      <c r="O849" s="60">
        <f>M849+N849</f>
        <v>258000</v>
      </c>
      <c r="P849" s="135"/>
      <c r="Q849" s="60">
        <f>O849+P849</f>
        <v>258000</v>
      </c>
    </row>
    <row r="850" spans="2:17" ht="35.25" customHeight="1">
      <c r="B850" s="30" t="s">
        <v>515</v>
      </c>
      <c r="C850" s="6"/>
      <c r="D850" s="44" t="s">
        <v>40</v>
      </c>
      <c r="E850" s="6" t="s">
        <v>504</v>
      </c>
      <c r="F850" s="6"/>
      <c r="G850" s="60"/>
      <c r="H850" s="40"/>
      <c r="I850" s="60"/>
      <c r="J850" s="40"/>
      <c r="K850" s="60"/>
      <c r="L850" s="135"/>
      <c r="M850" s="60">
        <f>M851</f>
        <v>7445500</v>
      </c>
      <c r="N850" s="135"/>
      <c r="O850" s="60">
        <f>O851</f>
        <v>7445500</v>
      </c>
      <c r="P850" s="135"/>
      <c r="Q850" s="60">
        <f>Q851</f>
        <v>7445500</v>
      </c>
    </row>
    <row r="851" spans="2:17" ht="33.75" customHeight="1">
      <c r="B851" s="32" t="s">
        <v>385</v>
      </c>
      <c r="C851" s="6"/>
      <c r="D851" s="44" t="s">
        <v>40</v>
      </c>
      <c r="E851" s="6" t="s">
        <v>319</v>
      </c>
      <c r="F851" s="6"/>
      <c r="G851" s="60"/>
      <c r="H851" s="40"/>
      <c r="I851" s="60"/>
      <c r="J851" s="40"/>
      <c r="K851" s="60"/>
      <c r="L851" s="135"/>
      <c r="M851" s="60">
        <f>M852</f>
        <v>7445500</v>
      </c>
      <c r="N851" s="135"/>
      <c r="O851" s="60">
        <f>O852</f>
        <v>7445500</v>
      </c>
      <c r="P851" s="135"/>
      <c r="Q851" s="60">
        <f>Q852</f>
        <v>7445500</v>
      </c>
    </row>
    <row r="852" spans="2:17" ht="35.25" customHeight="1">
      <c r="B852" s="32" t="s">
        <v>516</v>
      </c>
      <c r="C852" s="6"/>
      <c r="D852" s="44" t="s">
        <v>40</v>
      </c>
      <c r="E852" s="6" t="s">
        <v>517</v>
      </c>
      <c r="F852" s="6"/>
      <c r="G852" s="60"/>
      <c r="H852" s="40"/>
      <c r="I852" s="60"/>
      <c r="J852" s="40"/>
      <c r="K852" s="60"/>
      <c r="L852" s="135"/>
      <c r="M852" s="60">
        <f>M853</f>
        <v>7445500</v>
      </c>
      <c r="N852" s="135"/>
      <c r="O852" s="60">
        <f>O853</f>
        <v>7445500</v>
      </c>
      <c r="P852" s="135"/>
      <c r="Q852" s="60">
        <f>Q853</f>
        <v>7445500</v>
      </c>
    </row>
    <row r="853" spans="2:17" ht="31.5">
      <c r="B853" s="7" t="s">
        <v>382</v>
      </c>
      <c r="C853" s="6"/>
      <c r="D853" s="44" t="s">
        <v>40</v>
      </c>
      <c r="E853" s="6" t="s">
        <v>517</v>
      </c>
      <c r="F853" s="6" t="s">
        <v>328</v>
      </c>
      <c r="G853" s="60"/>
      <c r="H853" s="40"/>
      <c r="I853" s="60"/>
      <c r="J853" s="40"/>
      <c r="K853" s="60"/>
      <c r="L853" s="135">
        <v>7445500</v>
      </c>
      <c r="M853" s="60">
        <f>K853+L853</f>
        <v>7445500</v>
      </c>
      <c r="N853" s="135">
        <v>0</v>
      </c>
      <c r="O853" s="60">
        <f>M853+N853</f>
        <v>7445500</v>
      </c>
      <c r="P853" s="135"/>
      <c r="Q853" s="60">
        <f>O853+P853</f>
        <v>7445500</v>
      </c>
    </row>
    <row r="854" spans="2:17" ht="15.75" customHeight="1">
      <c r="B854" s="75" t="s">
        <v>41</v>
      </c>
      <c r="C854" s="6" t="s">
        <v>42</v>
      </c>
      <c r="D854" s="47" t="s">
        <v>42</v>
      </c>
      <c r="E854" s="6"/>
      <c r="F854" s="6"/>
      <c r="G854" s="60" t="e">
        <f>G855+G869+G898+G915</f>
        <v>#REF!</v>
      </c>
      <c r="H854" s="3"/>
      <c r="I854" s="60">
        <f>I855+I869+I898+I915</f>
        <v>37568200</v>
      </c>
      <c r="J854" s="3"/>
      <c r="K854" s="60">
        <f>K855+K869+K898+K915</f>
        <v>40518200</v>
      </c>
      <c r="L854" s="133"/>
      <c r="M854" s="60">
        <f>M855+M869+M898+M915</f>
        <v>65366500</v>
      </c>
      <c r="N854" s="133"/>
      <c r="O854" s="60">
        <f>O855+O869+O898+O915</f>
        <v>82613371.42</v>
      </c>
      <c r="P854" s="133"/>
      <c r="Q854" s="60">
        <f>Q855+Q869+Q898+Q915</f>
        <v>78154512.09</v>
      </c>
    </row>
    <row r="855" spans="2:17" ht="18" customHeight="1">
      <c r="B855" s="17" t="s">
        <v>43</v>
      </c>
      <c r="C855" s="6"/>
      <c r="D855" s="44" t="s">
        <v>44</v>
      </c>
      <c r="E855" s="6"/>
      <c r="F855" s="6"/>
      <c r="G855" s="60" t="e">
        <f>G858+G867+#REF!+G865+G856+#REF!</f>
        <v>#REF!</v>
      </c>
      <c r="H855" s="60">
        <f>H858+H867+H865+H856</f>
        <v>0</v>
      </c>
      <c r="I855" s="60">
        <f>I858+I867+I865+I856</f>
        <v>6913600</v>
      </c>
      <c r="J855" s="60">
        <v>0</v>
      </c>
      <c r="K855" s="60">
        <f>K858+K867+K865+K856</f>
        <v>6913600</v>
      </c>
      <c r="L855" s="142"/>
      <c r="M855" s="60">
        <f>M858+M867+M865+M856</f>
        <v>6913600</v>
      </c>
      <c r="N855" s="142"/>
      <c r="O855" s="60">
        <f>O858+O867+O865+O856</f>
        <v>3913600</v>
      </c>
      <c r="P855" s="142"/>
      <c r="Q855" s="60">
        <f>Q858+Q867+Q865+Q856</f>
        <v>3913600</v>
      </c>
    </row>
    <row r="856" spans="2:17" ht="39.75" customHeight="1" hidden="1">
      <c r="B856" s="11" t="s">
        <v>199</v>
      </c>
      <c r="C856" s="6" t="s">
        <v>200</v>
      </c>
      <c r="D856" s="6" t="s">
        <v>44</v>
      </c>
      <c r="E856" s="6" t="s">
        <v>202</v>
      </c>
      <c r="F856" s="6"/>
      <c r="G856" s="60">
        <f>G857</f>
        <v>0</v>
      </c>
      <c r="H856" s="3"/>
      <c r="I856" s="60">
        <f>I857</f>
        <v>0</v>
      </c>
      <c r="J856" s="3"/>
      <c r="K856" s="60">
        <f>K857</f>
        <v>0</v>
      </c>
      <c r="L856" s="133"/>
      <c r="M856" s="60">
        <f>M857</f>
        <v>0</v>
      </c>
      <c r="N856" s="133"/>
      <c r="O856" s="60">
        <f>O857</f>
        <v>0</v>
      </c>
      <c r="P856" s="133"/>
      <c r="Q856" s="60">
        <f>Q857</f>
        <v>0</v>
      </c>
    </row>
    <row r="857" spans="2:17" ht="19.5" customHeight="1" hidden="1">
      <c r="B857" s="32" t="s">
        <v>368</v>
      </c>
      <c r="C857" s="6" t="s">
        <v>200</v>
      </c>
      <c r="D857" s="6" t="s">
        <v>44</v>
      </c>
      <c r="E857" s="6" t="s">
        <v>202</v>
      </c>
      <c r="F857" s="6" t="s">
        <v>367</v>
      </c>
      <c r="G857" s="60">
        <v>0</v>
      </c>
      <c r="H857" s="3">
        <v>0</v>
      </c>
      <c r="I857" s="60">
        <f>G857+H857</f>
        <v>0</v>
      </c>
      <c r="J857" s="3">
        <v>0</v>
      </c>
      <c r="K857" s="60">
        <f>I857+J857</f>
        <v>0</v>
      </c>
      <c r="L857" s="133"/>
      <c r="M857" s="60">
        <f>K857+L857</f>
        <v>0</v>
      </c>
      <c r="N857" s="133"/>
      <c r="O857" s="60">
        <f>M857+N857</f>
        <v>0</v>
      </c>
      <c r="P857" s="133"/>
      <c r="Q857" s="60">
        <f>O857+P857</f>
        <v>0</v>
      </c>
    </row>
    <row r="858" spans="2:17" ht="21.75" customHeight="1">
      <c r="B858" s="12" t="s">
        <v>45</v>
      </c>
      <c r="C858" s="6"/>
      <c r="D858" s="44" t="s">
        <v>44</v>
      </c>
      <c r="E858" s="6" t="s">
        <v>46</v>
      </c>
      <c r="F858" s="6"/>
      <c r="G858" s="60">
        <f>G859+G861</f>
        <v>0</v>
      </c>
      <c r="H858" s="3"/>
      <c r="I858" s="60">
        <f>I859+I861</f>
        <v>6913600</v>
      </c>
      <c r="J858" s="3"/>
      <c r="K858" s="60">
        <f>K859+K861</f>
        <v>6913600</v>
      </c>
      <c r="L858" s="133"/>
      <c r="M858" s="60">
        <f>M859+M861</f>
        <v>6913600</v>
      </c>
      <c r="N858" s="133"/>
      <c r="O858" s="60">
        <f>O859+O861</f>
        <v>3913600</v>
      </c>
      <c r="P858" s="133"/>
      <c r="Q858" s="60">
        <f>Q859+Q861</f>
        <v>3913600</v>
      </c>
    </row>
    <row r="859" spans="2:17" ht="31.5">
      <c r="B859" s="12" t="s">
        <v>560</v>
      </c>
      <c r="C859" s="6"/>
      <c r="D859" s="44" t="s">
        <v>44</v>
      </c>
      <c r="E859" s="6" t="s">
        <v>47</v>
      </c>
      <c r="F859" s="6"/>
      <c r="G859" s="60">
        <f>G860</f>
        <v>0</v>
      </c>
      <c r="H859" s="3"/>
      <c r="I859" s="60">
        <f>I860</f>
        <v>853000</v>
      </c>
      <c r="J859" s="3"/>
      <c r="K859" s="60">
        <f>K860</f>
        <v>853000</v>
      </c>
      <c r="L859" s="133"/>
      <c r="M859" s="60">
        <f>M860</f>
        <v>853000</v>
      </c>
      <c r="N859" s="133"/>
      <c r="O859" s="60">
        <f>O860</f>
        <v>853000</v>
      </c>
      <c r="P859" s="133"/>
      <c r="Q859" s="60">
        <f>Q860</f>
        <v>853000</v>
      </c>
    </row>
    <row r="860" spans="2:17" ht="47.25">
      <c r="B860" s="31" t="s">
        <v>376</v>
      </c>
      <c r="C860" s="6"/>
      <c r="D860" s="44" t="s">
        <v>44</v>
      </c>
      <c r="E860" s="6" t="s">
        <v>47</v>
      </c>
      <c r="F860" s="6" t="s">
        <v>331</v>
      </c>
      <c r="G860" s="60">
        <v>0</v>
      </c>
      <c r="H860" s="3">
        <v>853000</v>
      </c>
      <c r="I860" s="60">
        <f>G860+H860</f>
        <v>853000</v>
      </c>
      <c r="J860" s="3">
        <v>0</v>
      </c>
      <c r="K860" s="60">
        <f>I860+J860</f>
        <v>853000</v>
      </c>
      <c r="L860" s="133"/>
      <c r="M860" s="60">
        <f>K860+L860</f>
        <v>853000</v>
      </c>
      <c r="N860" s="133"/>
      <c r="O860" s="60">
        <f>M860+N860</f>
        <v>853000</v>
      </c>
      <c r="P860" s="133"/>
      <c r="Q860" s="60">
        <f>O860+P860</f>
        <v>853000</v>
      </c>
    </row>
    <row r="861" spans="2:17" ht="21.75" customHeight="1">
      <c r="B861" s="12" t="s">
        <v>48</v>
      </c>
      <c r="C861" s="6"/>
      <c r="D861" s="44" t="s">
        <v>44</v>
      </c>
      <c r="E861" s="6" t="s">
        <v>49</v>
      </c>
      <c r="F861" s="6"/>
      <c r="G861" s="60">
        <f>G863</f>
        <v>0</v>
      </c>
      <c r="H861" s="3"/>
      <c r="I861" s="60">
        <f>I863</f>
        <v>6060600</v>
      </c>
      <c r="J861" s="3"/>
      <c r="K861" s="60">
        <f>K863</f>
        <v>6060600</v>
      </c>
      <c r="L861" s="133"/>
      <c r="M861" s="60">
        <f>M863</f>
        <v>6060600</v>
      </c>
      <c r="N861" s="133"/>
      <c r="O861" s="60">
        <f>O863</f>
        <v>3060600</v>
      </c>
      <c r="P861" s="133"/>
      <c r="Q861" s="60">
        <f>Q863</f>
        <v>3060600</v>
      </c>
    </row>
    <row r="862" spans="2:17" ht="18.75" customHeight="1" hidden="1">
      <c r="B862" s="12" t="s">
        <v>35</v>
      </c>
      <c r="C862" s="6"/>
      <c r="D862" s="44" t="s">
        <v>44</v>
      </c>
      <c r="E862" s="6" t="s">
        <v>51</v>
      </c>
      <c r="F862" s="6" t="s">
        <v>36</v>
      </c>
      <c r="G862" s="60">
        <v>0</v>
      </c>
      <c r="H862" s="3"/>
      <c r="I862" s="60">
        <v>0</v>
      </c>
      <c r="J862" s="3"/>
      <c r="K862" s="60">
        <v>0</v>
      </c>
      <c r="L862" s="133"/>
      <c r="M862" s="60">
        <v>0</v>
      </c>
      <c r="N862" s="133"/>
      <c r="O862" s="60">
        <v>0</v>
      </c>
      <c r="P862" s="133"/>
      <c r="Q862" s="60">
        <v>0</v>
      </c>
    </row>
    <row r="863" spans="2:17" ht="33" customHeight="1">
      <c r="B863" s="16" t="s">
        <v>170</v>
      </c>
      <c r="C863" s="6"/>
      <c r="D863" s="44" t="s">
        <v>44</v>
      </c>
      <c r="E863" s="6" t="s">
        <v>196</v>
      </c>
      <c r="F863" s="6"/>
      <c r="G863" s="60">
        <f>G864</f>
        <v>0</v>
      </c>
      <c r="H863" s="3"/>
      <c r="I863" s="60">
        <f>I864</f>
        <v>6060600</v>
      </c>
      <c r="J863" s="3"/>
      <c r="K863" s="60">
        <f>K864</f>
        <v>6060600</v>
      </c>
      <c r="L863" s="133"/>
      <c r="M863" s="60">
        <f>M864</f>
        <v>6060600</v>
      </c>
      <c r="N863" s="133"/>
      <c r="O863" s="60">
        <f>O864</f>
        <v>3060600</v>
      </c>
      <c r="P863" s="133"/>
      <c r="Q863" s="60">
        <f>Q864</f>
        <v>3060600</v>
      </c>
    </row>
    <row r="864" spans="2:17" ht="17.25" customHeight="1">
      <c r="B864" s="32" t="s">
        <v>334</v>
      </c>
      <c r="C864" s="6"/>
      <c r="D864" s="44" t="s">
        <v>44</v>
      </c>
      <c r="E864" s="6" t="s">
        <v>196</v>
      </c>
      <c r="F864" s="6" t="s">
        <v>335</v>
      </c>
      <c r="G864" s="60">
        <v>0</v>
      </c>
      <c r="H864" s="3">
        <v>6060600</v>
      </c>
      <c r="I864" s="60">
        <f>G864+H864</f>
        <v>6060600</v>
      </c>
      <c r="J864" s="3">
        <v>0</v>
      </c>
      <c r="K864" s="60">
        <f>I864+J864</f>
        <v>6060600</v>
      </c>
      <c r="L864" s="133"/>
      <c r="M864" s="60">
        <f>K864+L864</f>
        <v>6060600</v>
      </c>
      <c r="N864" s="133">
        <v>-3000000</v>
      </c>
      <c r="O864" s="60">
        <f>M864+N864</f>
        <v>3060600</v>
      </c>
      <c r="P864" s="133"/>
      <c r="Q864" s="60">
        <f>O864+P864</f>
        <v>3060600</v>
      </c>
    </row>
    <row r="865" spans="2:17" ht="84" customHeight="1" hidden="1">
      <c r="B865" s="31" t="s">
        <v>302</v>
      </c>
      <c r="C865" s="8" t="s">
        <v>192</v>
      </c>
      <c r="D865" s="8" t="s">
        <v>44</v>
      </c>
      <c r="E865" s="8" t="s">
        <v>265</v>
      </c>
      <c r="F865" s="8"/>
      <c r="G865" s="71">
        <f>G866</f>
        <v>0</v>
      </c>
      <c r="H865" s="52"/>
      <c r="I865" s="71">
        <f>I866</f>
        <v>0</v>
      </c>
      <c r="J865" s="52"/>
      <c r="K865" s="71">
        <f>K866</f>
        <v>0</v>
      </c>
      <c r="L865" s="138"/>
      <c r="M865" s="71">
        <f>M866</f>
        <v>0</v>
      </c>
      <c r="N865" s="138"/>
      <c r="O865" s="71">
        <f>O866</f>
        <v>0</v>
      </c>
      <c r="P865" s="138"/>
      <c r="Q865" s="71">
        <f>Q866</f>
        <v>0</v>
      </c>
    </row>
    <row r="866" spans="2:17" ht="18" customHeight="1" hidden="1">
      <c r="B866" s="32" t="s">
        <v>368</v>
      </c>
      <c r="C866" s="8" t="s">
        <v>192</v>
      </c>
      <c r="D866" s="8" t="s">
        <v>44</v>
      </c>
      <c r="E866" s="8" t="s">
        <v>265</v>
      </c>
      <c r="F866" s="8" t="s">
        <v>367</v>
      </c>
      <c r="G866" s="71">
        <v>0</v>
      </c>
      <c r="H866" s="52">
        <v>0</v>
      </c>
      <c r="I866" s="71">
        <f>G866+H866</f>
        <v>0</v>
      </c>
      <c r="J866" s="52">
        <v>0</v>
      </c>
      <c r="K866" s="71">
        <f>I866+J866</f>
        <v>0</v>
      </c>
      <c r="L866" s="138"/>
      <c r="M866" s="71">
        <f>K866+L866</f>
        <v>0</v>
      </c>
      <c r="N866" s="138"/>
      <c r="O866" s="71">
        <f>M866+N866</f>
        <v>0</v>
      </c>
      <c r="P866" s="138"/>
      <c r="Q866" s="71">
        <f>O866+P866</f>
        <v>0</v>
      </c>
    </row>
    <row r="867" spans="2:17" ht="50.25" customHeight="1" hidden="1">
      <c r="B867" s="12" t="s">
        <v>164</v>
      </c>
      <c r="C867" s="6"/>
      <c r="D867" s="44" t="s">
        <v>44</v>
      </c>
      <c r="E867" s="6" t="s">
        <v>294</v>
      </c>
      <c r="F867" s="6"/>
      <c r="G867" s="60">
        <f>G868</f>
        <v>0</v>
      </c>
      <c r="H867" s="3"/>
      <c r="I867" s="60">
        <f>I868</f>
        <v>0</v>
      </c>
      <c r="J867" s="3"/>
      <c r="K867" s="60">
        <f>K868</f>
        <v>0</v>
      </c>
      <c r="L867" s="133"/>
      <c r="M867" s="60">
        <f>M868</f>
        <v>0</v>
      </c>
      <c r="N867" s="133"/>
      <c r="O867" s="60">
        <f>O868</f>
        <v>0</v>
      </c>
      <c r="P867" s="133"/>
      <c r="Q867" s="60">
        <f>Q868</f>
        <v>0</v>
      </c>
    </row>
    <row r="868" spans="2:17" ht="21.75" customHeight="1" hidden="1">
      <c r="B868" s="32" t="s">
        <v>368</v>
      </c>
      <c r="C868" s="6"/>
      <c r="D868" s="44" t="s">
        <v>44</v>
      </c>
      <c r="E868" s="6" t="s">
        <v>294</v>
      </c>
      <c r="F868" s="6" t="s">
        <v>367</v>
      </c>
      <c r="G868" s="60">
        <v>0</v>
      </c>
      <c r="H868" s="3">
        <v>0</v>
      </c>
      <c r="I868" s="60">
        <f>G868+H868</f>
        <v>0</v>
      </c>
      <c r="J868" s="3">
        <v>0</v>
      </c>
      <c r="K868" s="60">
        <f>I868+J868</f>
        <v>0</v>
      </c>
      <c r="L868" s="133"/>
      <c r="M868" s="60">
        <f>K868+L868</f>
        <v>0</v>
      </c>
      <c r="N868" s="133"/>
      <c r="O868" s="60">
        <f>M868+N868</f>
        <v>0</v>
      </c>
      <c r="P868" s="133"/>
      <c r="Q868" s="60">
        <f>O868+P868</f>
        <v>0</v>
      </c>
    </row>
    <row r="869" spans="2:17" ht="15.75">
      <c r="B869" s="17" t="s">
        <v>55</v>
      </c>
      <c r="C869" s="6"/>
      <c r="D869" s="44" t="s">
        <v>56</v>
      </c>
      <c r="E869" s="6"/>
      <c r="F869" s="6"/>
      <c r="G869" s="60" t="e">
        <f>#REF!+#REF!+G877+G885+G883+G873+G870</f>
        <v>#REF!</v>
      </c>
      <c r="H869" s="3"/>
      <c r="I869" s="60">
        <f>I877+I885+I883+I873+I870</f>
        <v>15277700</v>
      </c>
      <c r="J869" s="3"/>
      <c r="K869" s="60">
        <f>K877+K885+K883+K873+K870</f>
        <v>18277700</v>
      </c>
      <c r="L869" s="133"/>
      <c r="M869" s="60">
        <f>M877+M885+M883+M873+M870+M892</f>
        <v>43156000</v>
      </c>
      <c r="N869" s="133"/>
      <c r="O869" s="60">
        <f>O877+O885+O882+O873+O870+O892</f>
        <v>64534492.42</v>
      </c>
      <c r="P869" s="133"/>
      <c r="Q869" s="60">
        <f>Q877+Q885+Q882+Q873+Q870+Q892+Q875</f>
        <v>60032024.09</v>
      </c>
    </row>
    <row r="870" spans="2:17" ht="18" customHeight="1" hidden="1">
      <c r="B870" s="11" t="s">
        <v>212</v>
      </c>
      <c r="C870" s="6"/>
      <c r="D870" s="44" t="s">
        <v>56</v>
      </c>
      <c r="E870" s="6" t="s">
        <v>210</v>
      </c>
      <c r="F870" s="6"/>
      <c r="G870" s="60">
        <f>G871</f>
        <v>0</v>
      </c>
      <c r="H870" s="3"/>
      <c r="I870" s="60">
        <f>I871</f>
        <v>0</v>
      </c>
      <c r="J870" s="3"/>
      <c r="K870" s="60">
        <f>K871</f>
        <v>0</v>
      </c>
      <c r="L870" s="133"/>
      <c r="M870" s="60">
        <f>M871</f>
        <v>0</v>
      </c>
      <c r="N870" s="133"/>
      <c r="O870" s="60">
        <f>O871</f>
        <v>0</v>
      </c>
      <c r="P870" s="133"/>
      <c r="Q870" s="60">
        <f>Q871</f>
        <v>0</v>
      </c>
    </row>
    <row r="871" spans="2:17" ht="18" customHeight="1" hidden="1">
      <c r="B871" s="11" t="s">
        <v>213</v>
      </c>
      <c r="C871" s="6"/>
      <c r="D871" s="44" t="s">
        <v>56</v>
      </c>
      <c r="E871" s="6" t="s">
        <v>211</v>
      </c>
      <c r="F871" s="6"/>
      <c r="G871" s="60">
        <f>G872</f>
        <v>0</v>
      </c>
      <c r="H871" s="3"/>
      <c r="I871" s="60">
        <f>I872</f>
        <v>0</v>
      </c>
      <c r="J871" s="3"/>
      <c r="K871" s="60">
        <f>K872</f>
        <v>0</v>
      </c>
      <c r="L871" s="133"/>
      <c r="M871" s="60">
        <f>M872</f>
        <v>0</v>
      </c>
      <c r="N871" s="133"/>
      <c r="O871" s="60">
        <f>O872</f>
        <v>0</v>
      </c>
      <c r="P871" s="133"/>
      <c r="Q871" s="60">
        <f>Q872</f>
        <v>0</v>
      </c>
    </row>
    <row r="872" spans="2:17" ht="18" customHeight="1" hidden="1">
      <c r="B872" s="12" t="s">
        <v>35</v>
      </c>
      <c r="C872" s="6"/>
      <c r="D872" s="44" t="s">
        <v>56</v>
      </c>
      <c r="E872" s="6" t="s">
        <v>211</v>
      </c>
      <c r="F872" s="6" t="s">
        <v>36</v>
      </c>
      <c r="G872" s="60">
        <v>0</v>
      </c>
      <c r="H872" s="3"/>
      <c r="I872" s="60">
        <f>G872+H872</f>
        <v>0</v>
      </c>
      <c r="J872" s="3"/>
      <c r="K872" s="60">
        <f>I872+J872</f>
        <v>0</v>
      </c>
      <c r="L872" s="133"/>
      <c r="M872" s="60">
        <f>K872+L872</f>
        <v>0</v>
      </c>
      <c r="N872" s="133"/>
      <c r="O872" s="60">
        <f>M872+N872</f>
        <v>0</v>
      </c>
      <c r="P872" s="133"/>
      <c r="Q872" s="60">
        <f>O872+P872</f>
        <v>0</v>
      </c>
    </row>
    <row r="873" spans="2:17" ht="15.75" customHeight="1" hidden="1">
      <c r="B873" s="76" t="s">
        <v>245</v>
      </c>
      <c r="C873" s="77" t="s">
        <v>200</v>
      </c>
      <c r="D873" s="77" t="s">
        <v>56</v>
      </c>
      <c r="E873" s="77" t="s">
        <v>246</v>
      </c>
      <c r="F873" s="77"/>
      <c r="G873" s="60">
        <f>G874</f>
        <v>0</v>
      </c>
      <c r="H873" s="52"/>
      <c r="I873" s="60">
        <f>I874</f>
        <v>0</v>
      </c>
      <c r="J873" s="52"/>
      <c r="K873" s="60">
        <f>K874</f>
        <v>0</v>
      </c>
      <c r="L873" s="138"/>
      <c r="M873" s="60">
        <f>M874</f>
        <v>0</v>
      </c>
      <c r="N873" s="138"/>
      <c r="O873" s="60">
        <f>O874</f>
        <v>0</v>
      </c>
      <c r="P873" s="138"/>
      <c r="Q873" s="60">
        <f>Q874</f>
        <v>0</v>
      </c>
    </row>
    <row r="874" spans="2:17" ht="15" customHeight="1" hidden="1">
      <c r="B874" s="78" t="s">
        <v>113</v>
      </c>
      <c r="C874" s="77" t="s">
        <v>200</v>
      </c>
      <c r="D874" s="77" t="s">
        <v>56</v>
      </c>
      <c r="E874" s="77" t="s">
        <v>246</v>
      </c>
      <c r="F874" s="77" t="s">
        <v>114</v>
      </c>
      <c r="G874" s="60"/>
      <c r="H874" s="52"/>
      <c r="I874" s="60"/>
      <c r="J874" s="52"/>
      <c r="K874" s="60"/>
      <c r="L874" s="138"/>
      <c r="M874" s="60"/>
      <c r="N874" s="138"/>
      <c r="O874" s="60"/>
      <c r="P874" s="138"/>
      <c r="Q874" s="60"/>
    </row>
    <row r="875" spans="2:17" s="168" customFormat="1" ht="47.25">
      <c r="B875" s="163" t="s">
        <v>558</v>
      </c>
      <c r="C875" s="8"/>
      <c r="D875" s="97" t="s">
        <v>56</v>
      </c>
      <c r="E875" s="97" t="s">
        <v>554</v>
      </c>
      <c r="F875" s="97"/>
      <c r="G875" s="172"/>
      <c r="H875" s="97"/>
      <c r="I875" s="172"/>
      <c r="J875" s="97"/>
      <c r="K875" s="172"/>
      <c r="L875" s="97"/>
      <c r="M875" s="172"/>
      <c r="N875" s="97"/>
      <c r="O875" s="172"/>
      <c r="P875" s="97"/>
      <c r="Q875" s="172">
        <f>Q876</f>
        <v>2800000</v>
      </c>
    </row>
    <row r="876" spans="2:17" s="168" customFormat="1" ht="45.75" customHeight="1">
      <c r="B876" s="100" t="s">
        <v>384</v>
      </c>
      <c r="C876" s="8"/>
      <c r="D876" s="97" t="s">
        <v>56</v>
      </c>
      <c r="E876" s="97" t="s">
        <v>554</v>
      </c>
      <c r="F876" s="97" t="s">
        <v>383</v>
      </c>
      <c r="G876" s="172"/>
      <c r="H876" s="97"/>
      <c r="I876" s="172"/>
      <c r="J876" s="97"/>
      <c r="K876" s="172"/>
      <c r="L876" s="97"/>
      <c r="M876" s="172"/>
      <c r="N876" s="97"/>
      <c r="O876" s="172"/>
      <c r="P876" s="97" t="s">
        <v>559</v>
      </c>
      <c r="Q876" s="172">
        <f>O876+P876</f>
        <v>2800000</v>
      </c>
    </row>
    <row r="877" spans="2:17" ht="31.5">
      <c r="B877" s="12" t="s">
        <v>57</v>
      </c>
      <c r="C877" s="6"/>
      <c r="D877" s="44" t="s">
        <v>56</v>
      </c>
      <c r="E877" s="6" t="s">
        <v>58</v>
      </c>
      <c r="F877" s="6"/>
      <c r="G877" s="60">
        <f>G878+G880+G879+G881</f>
        <v>0</v>
      </c>
      <c r="H877" s="3"/>
      <c r="I877" s="60">
        <f>I878+I880+I879+I881</f>
        <v>0</v>
      </c>
      <c r="J877" s="3"/>
      <c r="K877" s="60">
        <f>K878+K880+K879+K881</f>
        <v>0</v>
      </c>
      <c r="L877" s="133"/>
      <c r="M877" s="60">
        <f>M878+M880+M879+M881</f>
        <v>250000</v>
      </c>
      <c r="N877" s="133"/>
      <c r="O877" s="60">
        <f>O878+O880+O879+O881</f>
        <v>2750000</v>
      </c>
      <c r="P877" s="133"/>
      <c r="Q877" s="60">
        <f>Q878+Q880+Q879+Q881</f>
        <v>7261666.67</v>
      </c>
    </row>
    <row r="878" spans="2:17" ht="22.5" customHeight="1" hidden="1">
      <c r="B878" s="62" t="s">
        <v>390</v>
      </c>
      <c r="C878" s="6"/>
      <c r="D878" s="44" t="s">
        <v>56</v>
      </c>
      <c r="E878" s="6" t="s">
        <v>58</v>
      </c>
      <c r="F878" s="6" t="s">
        <v>358</v>
      </c>
      <c r="G878" s="60">
        <v>0</v>
      </c>
      <c r="H878" s="3"/>
      <c r="I878" s="60">
        <f>G878+H878</f>
        <v>0</v>
      </c>
      <c r="J878" s="3"/>
      <c r="K878" s="60">
        <f>I878+J878</f>
        <v>0</v>
      </c>
      <c r="L878" s="133"/>
      <c r="M878" s="60">
        <f>K878+L878</f>
        <v>0</v>
      </c>
      <c r="N878" s="133"/>
      <c r="O878" s="60">
        <f>M878+N878</f>
        <v>0</v>
      </c>
      <c r="P878" s="133"/>
      <c r="Q878" s="60">
        <f>O878+P878</f>
        <v>0</v>
      </c>
    </row>
    <row r="879" spans="2:17" ht="31.5">
      <c r="B879" s="7" t="s">
        <v>382</v>
      </c>
      <c r="C879" s="6"/>
      <c r="D879" s="44" t="s">
        <v>56</v>
      </c>
      <c r="E879" s="6" t="s">
        <v>58</v>
      </c>
      <c r="F879" s="6" t="s">
        <v>328</v>
      </c>
      <c r="G879" s="60">
        <v>0</v>
      </c>
      <c r="H879" s="3">
        <v>0</v>
      </c>
      <c r="I879" s="60">
        <f>G879+H879</f>
        <v>0</v>
      </c>
      <c r="J879" s="3">
        <v>0</v>
      </c>
      <c r="K879" s="60">
        <f>I879+J879</f>
        <v>0</v>
      </c>
      <c r="L879" s="133">
        <v>250000</v>
      </c>
      <c r="M879" s="60">
        <f>K879+L879</f>
        <v>250000</v>
      </c>
      <c r="N879" s="133">
        <v>2500000</v>
      </c>
      <c r="O879" s="60">
        <f>M879+N879</f>
        <v>2750000</v>
      </c>
      <c r="P879" s="133">
        <v>2011666.67</v>
      </c>
      <c r="Q879" s="60">
        <f>O879+P879</f>
        <v>4761666.67</v>
      </c>
    </row>
    <row r="880" spans="2:17" ht="47.25">
      <c r="B880" s="31" t="s">
        <v>359</v>
      </c>
      <c r="C880" s="6"/>
      <c r="D880" s="44" t="s">
        <v>56</v>
      </c>
      <c r="E880" s="6" t="s">
        <v>58</v>
      </c>
      <c r="F880" s="6" t="s">
        <v>360</v>
      </c>
      <c r="G880" s="60">
        <v>0</v>
      </c>
      <c r="H880" s="3">
        <v>0</v>
      </c>
      <c r="I880" s="60">
        <f>G880+H880</f>
        <v>0</v>
      </c>
      <c r="J880" s="3">
        <v>0</v>
      </c>
      <c r="K880" s="60">
        <f>I880+J880</f>
        <v>0</v>
      </c>
      <c r="L880" s="133"/>
      <c r="M880" s="60">
        <f>K880+L880</f>
        <v>0</v>
      </c>
      <c r="N880" s="133"/>
      <c r="O880" s="60">
        <f>M880+N880</f>
        <v>0</v>
      </c>
      <c r="P880" s="133">
        <v>2500000</v>
      </c>
      <c r="Q880" s="60">
        <f>O880+P880</f>
        <v>2500000</v>
      </c>
    </row>
    <row r="881" spans="2:17" ht="24.75" customHeight="1" hidden="1">
      <c r="B881" s="32" t="s">
        <v>355</v>
      </c>
      <c r="C881" s="6"/>
      <c r="D881" s="101" t="s">
        <v>56</v>
      </c>
      <c r="E881" s="103" t="s">
        <v>58</v>
      </c>
      <c r="F881" s="103" t="s">
        <v>329</v>
      </c>
      <c r="G881" s="60">
        <v>0</v>
      </c>
      <c r="H881" s="3">
        <v>0</v>
      </c>
      <c r="I881" s="60">
        <f>G881+H881</f>
        <v>0</v>
      </c>
      <c r="J881" s="3">
        <v>0</v>
      </c>
      <c r="K881" s="60">
        <f>I881+J881</f>
        <v>0</v>
      </c>
      <c r="L881" s="133"/>
      <c r="M881" s="60">
        <f>K881+L881</f>
        <v>0</v>
      </c>
      <c r="N881" s="133"/>
      <c r="O881" s="60">
        <f>M881+N881</f>
        <v>0</v>
      </c>
      <c r="P881" s="133"/>
      <c r="Q881" s="60">
        <f>O881+P881</f>
        <v>0</v>
      </c>
    </row>
    <row r="882" spans="2:17" ht="15.75">
      <c r="B882" s="114" t="s">
        <v>519</v>
      </c>
      <c r="C882" s="6"/>
      <c r="D882" s="101" t="s">
        <v>56</v>
      </c>
      <c r="E882" s="103" t="s">
        <v>537</v>
      </c>
      <c r="F882" s="103"/>
      <c r="G882" s="60"/>
      <c r="H882" s="3"/>
      <c r="I882" s="60"/>
      <c r="J882" s="3"/>
      <c r="K882" s="60"/>
      <c r="L882" s="133"/>
      <c r="M882" s="60"/>
      <c r="N882" s="133"/>
      <c r="O882" s="60">
        <f>O883</f>
        <v>978492.42</v>
      </c>
      <c r="P882" s="133"/>
      <c r="Q882" s="60">
        <f>Q883</f>
        <v>978492.42</v>
      </c>
    </row>
    <row r="883" spans="2:17" ht="31.5">
      <c r="B883" s="12" t="s">
        <v>392</v>
      </c>
      <c r="C883" s="6"/>
      <c r="D883" s="44" t="s">
        <v>56</v>
      </c>
      <c r="E883" s="6" t="s">
        <v>393</v>
      </c>
      <c r="F883" s="6"/>
      <c r="G883" s="60">
        <f>G884</f>
        <v>0</v>
      </c>
      <c r="H883" s="3"/>
      <c r="I883" s="60">
        <f>I884</f>
        <v>0</v>
      </c>
      <c r="J883" s="3"/>
      <c r="K883" s="60">
        <f>K884</f>
        <v>0</v>
      </c>
      <c r="L883" s="133"/>
      <c r="M883" s="60">
        <f>M884</f>
        <v>0</v>
      </c>
      <c r="N883" s="133"/>
      <c r="O883" s="60">
        <f>O884</f>
        <v>978492.42</v>
      </c>
      <c r="P883" s="133"/>
      <c r="Q883" s="60">
        <f>Q884</f>
        <v>978492.42</v>
      </c>
    </row>
    <row r="884" spans="2:17" ht="51.75" customHeight="1">
      <c r="B884" s="23" t="s">
        <v>384</v>
      </c>
      <c r="C884" s="6"/>
      <c r="D884" s="44" t="s">
        <v>56</v>
      </c>
      <c r="E884" s="6" t="s">
        <v>393</v>
      </c>
      <c r="F884" s="6" t="s">
        <v>383</v>
      </c>
      <c r="G884" s="60">
        <v>0</v>
      </c>
      <c r="H884" s="3"/>
      <c r="I884" s="60">
        <f>G884+H884</f>
        <v>0</v>
      </c>
      <c r="J884" s="3"/>
      <c r="K884" s="60">
        <f>I884+J884</f>
        <v>0</v>
      </c>
      <c r="L884" s="133"/>
      <c r="M884" s="60">
        <f>K884+L884</f>
        <v>0</v>
      </c>
      <c r="N884" s="133">
        <v>978492.42</v>
      </c>
      <c r="O884" s="60">
        <f>M884+N884</f>
        <v>978492.42</v>
      </c>
      <c r="P884" s="133"/>
      <c r="Q884" s="60">
        <f>O884+P884</f>
        <v>978492.42</v>
      </c>
    </row>
    <row r="885" spans="2:17" ht="15.75">
      <c r="B885" s="12" t="s">
        <v>313</v>
      </c>
      <c r="C885" s="6"/>
      <c r="D885" s="44" t="s">
        <v>56</v>
      </c>
      <c r="E885" s="6" t="s">
        <v>104</v>
      </c>
      <c r="F885" s="6"/>
      <c r="G885" s="60">
        <f>G886+G888+G890</f>
        <v>0</v>
      </c>
      <c r="H885" s="3"/>
      <c r="I885" s="60">
        <f>I886+I888+I890</f>
        <v>15277700</v>
      </c>
      <c r="J885" s="3"/>
      <c r="K885" s="60">
        <f>K886+K888+K890</f>
        <v>18277700</v>
      </c>
      <c r="L885" s="133"/>
      <c r="M885" s="60">
        <f>M886+M888+M890</f>
        <v>18277700</v>
      </c>
      <c r="N885" s="133"/>
      <c r="O885" s="60">
        <f>O886+O888+O890</f>
        <v>36177700</v>
      </c>
      <c r="P885" s="133"/>
      <c r="Q885" s="60">
        <f>Q886+Q888+Q890</f>
        <v>24363565</v>
      </c>
    </row>
    <row r="886" spans="2:17" ht="4.5" customHeight="1" hidden="1">
      <c r="B886" s="96" t="s">
        <v>438</v>
      </c>
      <c r="C886" s="6"/>
      <c r="D886" s="101" t="s">
        <v>56</v>
      </c>
      <c r="E886" s="103" t="s">
        <v>291</v>
      </c>
      <c r="F886" s="6"/>
      <c r="G886" s="60">
        <f>G887</f>
        <v>0</v>
      </c>
      <c r="H886" s="3"/>
      <c r="I886" s="60">
        <f>I887</f>
        <v>0</v>
      </c>
      <c r="J886" s="3"/>
      <c r="K886" s="60">
        <f>K887</f>
        <v>0</v>
      </c>
      <c r="L886" s="133"/>
      <c r="M886" s="60">
        <f>M887</f>
        <v>0</v>
      </c>
      <c r="N886" s="133"/>
      <c r="O886" s="60">
        <f>O887</f>
        <v>0</v>
      </c>
      <c r="P886" s="133"/>
      <c r="Q886" s="60">
        <f>Q887</f>
        <v>0</v>
      </c>
    </row>
    <row r="887" spans="2:17" ht="34.5" customHeight="1" hidden="1">
      <c r="B887" s="7" t="s">
        <v>382</v>
      </c>
      <c r="C887" s="6"/>
      <c r="D887" s="44" t="s">
        <v>56</v>
      </c>
      <c r="E887" s="6" t="s">
        <v>291</v>
      </c>
      <c r="F887" s="6" t="s">
        <v>328</v>
      </c>
      <c r="G887" s="60">
        <v>0</v>
      </c>
      <c r="H887" s="3"/>
      <c r="I887" s="60">
        <f>G887+H887</f>
        <v>0</v>
      </c>
      <c r="J887" s="3"/>
      <c r="K887" s="60">
        <f>I887+J887</f>
        <v>0</v>
      </c>
      <c r="L887" s="133"/>
      <c r="M887" s="60">
        <f>K887+L887</f>
        <v>0</v>
      </c>
      <c r="N887" s="133"/>
      <c r="O887" s="60">
        <f>M887+N887</f>
        <v>0</v>
      </c>
      <c r="P887" s="133"/>
      <c r="Q887" s="60">
        <f>O887+P887</f>
        <v>0</v>
      </c>
    </row>
    <row r="888" spans="2:17" ht="34.5" customHeight="1">
      <c r="B888" s="105" t="s">
        <v>439</v>
      </c>
      <c r="C888" s="6"/>
      <c r="D888" s="101" t="s">
        <v>56</v>
      </c>
      <c r="E888" s="103" t="s">
        <v>290</v>
      </c>
      <c r="F888" s="6"/>
      <c r="G888" s="60">
        <f>G889</f>
        <v>0</v>
      </c>
      <c r="H888" s="3"/>
      <c r="I888" s="60">
        <f>I889</f>
        <v>12945700</v>
      </c>
      <c r="J888" s="3"/>
      <c r="K888" s="60">
        <f>K889</f>
        <v>15945700</v>
      </c>
      <c r="L888" s="133"/>
      <c r="M888" s="60">
        <f>M889</f>
        <v>15945700</v>
      </c>
      <c r="N888" s="133"/>
      <c r="O888" s="60">
        <f>O889</f>
        <v>15345700</v>
      </c>
      <c r="P888" s="133"/>
      <c r="Q888" s="60">
        <f>Q889</f>
        <v>15945700</v>
      </c>
    </row>
    <row r="889" spans="2:17" ht="49.5" customHeight="1">
      <c r="B889" s="96" t="s">
        <v>384</v>
      </c>
      <c r="C889" s="6"/>
      <c r="D889" s="44" t="s">
        <v>56</v>
      </c>
      <c r="E889" s="6" t="s">
        <v>290</v>
      </c>
      <c r="F889" s="6" t="s">
        <v>383</v>
      </c>
      <c r="G889" s="60">
        <v>0</v>
      </c>
      <c r="H889" s="3">
        <v>12945700</v>
      </c>
      <c r="I889" s="60">
        <f>G889+H889</f>
        <v>12945700</v>
      </c>
      <c r="J889" s="3">
        <v>3000000</v>
      </c>
      <c r="K889" s="60">
        <f>I889+J889</f>
        <v>15945700</v>
      </c>
      <c r="L889" s="133"/>
      <c r="M889" s="60">
        <f>K889+L889</f>
        <v>15945700</v>
      </c>
      <c r="N889" s="133">
        <v>-600000</v>
      </c>
      <c r="O889" s="60">
        <f>M889+N889</f>
        <v>15345700</v>
      </c>
      <c r="P889" s="133">
        <v>600000</v>
      </c>
      <c r="Q889" s="60">
        <f>O889+P889</f>
        <v>15945700</v>
      </c>
    </row>
    <row r="890" spans="2:17" ht="66" customHeight="1">
      <c r="B890" s="108" t="s">
        <v>452</v>
      </c>
      <c r="C890" s="8" t="s">
        <v>200</v>
      </c>
      <c r="D890" s="8" t="s">
        <v>56</v>
      </c>
      <c r="E890" s="97" t="s">
        <v>453</v>
      </c>
      <c r="F890" s="8"/>
      <c r="G890" s="70">
        <f>G891</f>
        <v>0</v>
      </c>
      <c r="H890" s="52"/>
      <c r="I890" s="70">
        <f>I891</f>
        <v>2332000</v>
      </c>
      <c r="J890" s="52"/>
      <c r="K890" s="70">
        <f>K891</f>
        <v>2332000</v>
      </c>
      <c r="L890" s="138"/>
      <c r="M890" s="70">
        <f>M891</f>
        <v>2332000</v>
      </c>
      <c r="N890" s="138"/>
      <c r="O890" s="70">
        <f>O891</f>
        <v>20832000</v>
      </c>
      <c r="P890" s="138"/>
      <c r="Q890" s="70">
        <f>Q891</f>
        <v>8417865</v>
      </c>
    </row>
    <row r="891" spans="2:17" ht="39.75" customHeight="1">
      <c r="B891" s="7" t="s">
        <v>382</v>
      </c>
      <c r="C891" s="8" t="s">
        <v>200</v>
      </c>
      <c r="D891" s="8" t="s">
        <v>56</v>
      </c>
      <c r="E891" s="97" t="s">
        <v>453</v>
      </c>
      <c r="F891" s="97" t="s">
        <v>328</v>
      </c>
      <c r="G891" s="70">
        <v>0</v>
      </c>
      <c r="H891" s="52">
        <v>2332000</v>
      </c>
      <c r="I891" s="70">
        <f>G891+H891</f>
        <v>2332000</v>
      </c>
      <c r="J891" s="52">
        <v>0</v>
      </c>
      <c r="K891" s="70">
        <f>I891+J891</f>
        <v>2332000</v>
      </c>
      <c r="L891" s="138"/>
      <c r="M891" s="70">
        <f>K891+L891</f>
        <v>2332000</v>
      </c>
      <c r="N891" s="138">
        <v>18500000</v>
      </c>
      <c r="O891" s="70">
        <f>M891+N891</f>
        <v>20832000</v>
      </c>
      <c r="P891" s="138">
        <f>-600000-2500000-9314135</f>
        <v>-12414135</v>
      </c>
      <c r="Q891" s="70">
        <f>O891+P891</f>
        <v>8417865</v>
      </c>
    </row>
    <row r="892" spans="2:17" ht="15.75">
      <c r="B892" s="160" t="s">
        <v>519</v>
      </c>
      <c r="C892" s="8"/>
      <c r="D892" s="97" t="s">
        <v>56</v>
      </c>
      <c r="E892" s="97" t="s">
        <v>520</v>
      </c>
      <c r="F892" s="97"/>
      <c r="G892" s="70"/>
      <c r="H892" s="111"/>
      <c r="I892" s="70"/>
      <c r="J892" s="111"/>
      <c r="K892" s="70"/>
      <c r="L892" s="139"/>
      <c r="M892" s="70">
        <f>M893+M895</f>
        <v>24628300</v>
      </c>
      <c r="N892" s="139"/>
      <c r="O892" s="70">
        <f>O893+O895</f>
        <v>24628300</v>
      </c>
      <c r="P892" s="139"/>
      <c r="Q892" s="70">
        <f>Q893+Q895</f>
        <v>24628300</v>
      </c>
    </row>
    <row r="893" spans="2:17" ht="31.5" customHeight="1">
      <c r="B893" s="105" t="s">
        <v>579</v>
      </c>
      <c r="C893" s="8"/>
      <c r="D893" s="97" t="s">
        <v>56</v>
      </c>
      <c r="E893" s="97" t="s">
        <v>518</v>
      </c>
      <c r="F893" s="97"/>
      <c r="G893" s="70"/>
      <c r="H893" s="111"/>
      <c r="I893" s="70"/>
      <c r="J893" s="111"/>
      <c r="K893" s="70"/>
      <c r="L893" s="139"/>
      <c r="M893" s="70">
        <f>M894</f>
        <v>16509600</v>
      </c>
      <c r="N893" s="139"/>
      <c r="O893" s="70">
        <f>O894</f>
        <v>16509600</v>
      </c>
      <c r="P893" s="139"/>
      <c r="Q893" s="70">
        <f>Q894</f>
        <v>16509600</v>
      </c>
    </row>
    <row r="894" spans="2:17" ht="39.75" customHeight="1">
      <c r="B894" s="105" t="s">
        <v>382</v>
      </c>
      <c r="C894" s="97"/>
      <c r="D894" s="97" t="s">
        <v>56</v>
      </c>
      <c r="E894" s="97" t="s">
        <v>518</v>
      </c>
      <c r="F894" s="97" t="s">
        <v>328</v>
      </c>
      <c r="G894" s="70"/>
      <c r="H894" s="161"/>
      <c r="I894" s="70"/>
      <c r="J894" s="161"/>
      <c r="K894" s="70"/>
      <c r="L894" s="162">
        <v>16509600</v>
      </c>
      <c r="M894" s="70">
        <f>K894+L894</f>
        <v>16509600</v>
      </c>
      <c r="N894" s="162">
        <v>0</v>
      </c>
      <c r="O894" s="70">
        <f>M894+N894</f>
        <v>16509600</v>
      </c>
      <c r="P894" s="162"/>
      <c r="Q894" s="70">
        <f>O894+P894</f>
        <v>16509600</v>
      </c>
    </row>
    <row r="895" spans="2:17" ht="21" customHeight="1">
      <c r="B895" s="105" t="s">
        <v>501</v>
      </c>
      <c r="C895" s="8"/>
      <c r="D895" s="97" t="s">
        <v>56</v>
      </c>
      <c r="E895" s="97" t="s">
        <v>500</v>
      </c>
      <c r="F895" s="97"/>
      <c r="G895" s="70"/>
      <c r="H895" s="52"/>
      <c r="I895" s="70"/>
      <c r="J895" s="52"/>
      <c r="K895" s="70"/>
      <c r="L895" s="138"/>
      <c r="M895" s="70">
        <f>M896</f>
        <v>8118700</v>
      </c>
      <c r="N895" s="138"/>
      <c r="O895" s="70">
        <f>O896</f>
        <v>8118700</v>
      </c>
      <c r="P895" s="138"/>
      <c r="Q895" s="70">
        <f>Q896</f>
        <v>8118700</v>
      </c>
    </row>
    <row r="896" spans="2:17" ht="36.75" customHeight="1">
      <c r="B896" s="105" t="s">
        <v>499</v>
      </c>
      <c r="C896" s="8"/>
      <c r="D896" s="97" t="s">
        <v>56</v>
      </c>
      <c r="E896" s="97" t="s">
        <v>498</v>
      </c>
      <c r="F896" s="97"/>
      <c r="G896" s="70"/>
      <c r="H896" s="52"/>
      <c r="I896" s="70"/>
      <c r="J896" s="52"/>
      <c r="K896" s="70"/>
      <c r="L896" s="138"/>
      <c r="M896" s="70">
        <f>M897</f>
        <v>8118700</v>
      </c>
      <c r="N896" s="138"/>
      <c r="O896" s="70">
        <f>O897</f>
        <v>8118700</v>
      </c>
      <c r="P896" s="138"/>
      <c r="Q896" s="70">
        <f>Q897</f>
        <v>8118700</v>
      </c>
    </row>
    <row r="897" spans="2:17" ht="47.25" customHeight="1">
      <c r="B897" s="105" t="s">
        <v>384</v>
      </c>
      <c r="C897" s="8"/>
      <c r="D897" s="97" t="s">
        <v>56</v>
      </c>
      <c r="E897" s="97" t="s">
        <v>498</v>
      </c>
      <c r="F897" s="97" t="s">
        <v>383</v>
      </c>
      <c r="G897" s="70"/>
      <c r="H897" s="52"/>
      <c r="I897" s="70"/>
      <c r="J897" s="52"/>
      <c r="K897" s="70"/>
      <c r="L897" s="138">
        <v>8118700</v>
      </c>
      <c r="M897" s="70">
        <f>K897+L897</f>
        <v>8118700</v>
      </c>
      <c r="N897" s="138">
        <v>0</v>
      </c>
      <c r="O897" s="70">
        <f>M897+N897</f>
        <v>8118700</v>
      </c>
      <c r="P897" s="138"/>
      <c r="Q897" s="70">
        <f>O897+P897</f>
        <v>8118700</v>
      </c>
    </row>
    <row r="898" spans="2:17" ht="19.5" customHeight="1">
      <c r="B898" s="17" t="s">
        <v>60</v>
      </c>
      <c r="C898" s="6"/>
      <c r="D898" s="44" t="s">
        <v>59</v>
      </c>
      <c r="E898" s="6"/>
      <c r="F898" s="6"/>
      <c r="G898" s="60" t="e">
        <f>G901+#REF!+G913</f>
        <v>#REF!</v>
      </c>
      <c r="H898" s="3"/>
      <c r="I898" s="60">
        <f>I901+I913+I910</f>
        <v>10963400</v>
      </c>
      <c r="J898" s="3"/>
      <c r="K898" s="60">
        <f>K901+K913+K910</f>
        <v>10913400</v>
      </c>
      <c r="L898" s="133"/>
      <c r="M898" s="60">
        <f>M901+M913+M910</f>
        <v>10883400</v>
      </c>
      <c r="N898" s="133"/>
      <c r="O898" s="60">
        <f>O901+O913+O910</f>
        <v>10851779</v>
      </c>
      <c r="P898" s="133"/>
      <c r="Q898" s="60">
        <f>Q901+Q913+Q910</f>
        <v>10895388</v>
      </c>
    </row>
    <row r="899" spans="2:17" ht="78.75" hidden="1">
      <c r="B899" s="32" t="s">
        <v>194</v>
      </c>
      <c r="C899" s="8" t="s">
        <v>192</v>
      </c>
      <c r="D899" s="46" t="s">
        <v>59</v>
      </c>
      <c r="E899" s="8" t="s">
        <v>193</v>
      </c>
      <c r="F899" s="8"/>
      <c r="G899" s="60">
        <f>G900</f>
        <v>0</v>
      </c>
      <c r="H899" s="3"/>
      <c r="I899" s="60">
        <f>I900</f>
        <v>0</v>
      </c>
      <c r="J899" s="3"/>
      <c r="K899" s="60">
        <f>K900</f>
        <v>0</v>
      </c>
      <c r="L899" s="133"/>
      <c r="M899" s="60">
        <f>M900</f>
        <v>0</v>
      </c>
      <c r="N899" s="133"/>
      <c r="O899" s="60">
        <f>O900</f>
        <v>0</v>
      </c>
      <c r="P899" s="133"/>
      <c r="Q899" s="60">
        <f>Q900</f>
        <v>0</v>
      </c>
    </row>
    <row r="900" spans="2:17" ht="47.25" hidden="1">
      <c r="B900" s="32" t="s">
        <v>35</v>
      </c>
      <c r="C900" s="8" t="s">
        <v>192</v>
      </c>
      <c r="D900" s="46" t="s">
        <v>59</v>
      </c>
      <c r="E900" s="8" t="s">
        <v>193</v>
      </c>
      <c r="F900" s="8" t="s">
        <v>36</v>
      </c>
      <c r="G900" s="60">
        <v>0</v>
      </c>
      <c r="H900" s="3"/>
      <c r="I900" s="60">
        <v>0</v>
      </c>
      <c r="J900" s="3"/>
      <c r="K900" s="60">
        <v>0</v>
      </c>
      <c r="L900" s="133"/>
      <c r="M900" s="60">
        <v>0</v>
      </c>
      <c r="N900" s="133"/>
      <c r="O900" s="60">
        <v>0</v>
      </c>
      <c r="P900" s="133"/>
      <c r="Q900" s="60">
        <v>0</v>
      </c>
    </row>
    <row r="901" spans="2:17" ht="15.75">
      <c r="B901" s="17" t="s">
        <v>60</v>
      </c>
      <c r="C901" s="6"/>
      <c r="D901" s="44" t="s">
        <v>59</v>
      </c>
      <c r="E901" s="6" t="s">
        <v>61</v>
      </c>
      <c r="F901" s="6"/>
      <c r="G901" s="60" t="e">
        <f>G902+G904+G906+G908+G910</f>
        <v>#REF!</v>
      </c>
      <c r="H901" s="3"/>
      <c r="I901" s="60">
        <f>I902+I904+I906+I908</f>
        <v>10837400</v>
      </c>
      <c r="J901" s="3"/>
      <c r="K901" s="60">
        <f>K902+K904+K906+K908</f>
        <v>10761800</v>
      </c>
      <c r="L901" s="133"/>
      <c r="M901" s="60">
        <f>M902+M904+M906+M908</f>
        <v>10731800</v>
      </c>
      <c r="N901" s="133"/>
      <c r="O901" s="60">
        <f>O902+O904+O906+O908</f>
        <v>10700179</v>
      </c>
      <c r="P901" s="133"/>
      <c r="Q901" s="60">
        <f>Q902+Q904+Q906+Q908</f>
        <v>10743788</v>
      </c>
    </row>
    <row r="902" spans="2:17" ht="15.75">
      <c r="B902" s="12" t="s">
        <v>62</v>
      </c>
      <c r="C902" s="6"/>
      <c r="D902" s="44" t="s">
        <v>59</v>
      </c>
      <c r="E902" s="6" t="s">
        <v>63</v>
      </c>
      <c r="F902" s="6"/>
      <c r="G902" s="60">
        <f>G903</f>
        <v>0</v>
      </c>
      <c r="H902" s="3"/>
      <c r="I902" s="60">
        <f>I903</f>
        <v>6317400</v>
      </c>
      <c r="J902" s="3"/>
      <c r="K902" s="60">
        <f>K903</f>
        <v>6317400</v>
      </c>
      <c r="L902" s="133"/>
      <c r="M902" s="60">
        <f>M903</f>
        <v>6287400</v>
      </c>
      <c r="N902" s="133"/>
      <c r="O902" s="60">
        <f>O903</f>
        <v>6267400</v>
      </c>
      <c r="P902" s="133"/>
      <c r="Q902" s="60">
        <f>Q903</f>
        <v>6267400</v>
      </c>
    </row>
    <row r="903" spans="2:17" ht="35.25" customHeight="1">
      <c r="B903" s="7" t="s">
        <v>382</v>
      </c>
      <c r="C903" s="6"/>
      <c r="D903" s="44" t="s">
        <v>59</v>
      </c>
      <c r="E903" s="6" t="s">
        <v>63</v>
      </c>
      <c r="F903" s="6" t="s">
        <v>328</v>
      </c>
      <c r="G903" s="60">
        <v>0</v>
      </c>
      <c r="H903" s="3">
        <v>6317400</v>
      </c>
      <c r="I903" s="60">
        <f>G903+H903</f>
        <v>6317400</v>
      </c>
      <c r="J903" s="3">
        <v>0</v>
      </c>
      <c r="K903" s="60">
        <f>I903+J903</f>
        <v>6317400</v>
      </c>
      <c r="L903" s="133">
        <v>-30000</v>
      </c>
      <c r="M903" s="60">
        <f>K903+L903</f>
        <v>6287400</v>
      </c>
      <c r="N903" s="133">
        <v>-20000</v>
      </c>
      <c r="O903" s="60">
        <f>M903+N903</f>
        <v>6267400</v>
      </c>
      <c r="P903" s="133"/>
      <c r="Q903" s="60">
        <f>O903+P903</f>
        <v>6267400</v>
      </c>
    </row>
    <row r="904" spans="2:17" ht="0.75" customHeight="1" hidden="1">
      <c r="B904" s="12" t="s">
        <v>426</v>
      </c>
      <c r="C904" s="6"/>
      <c r="D904" s="44" t="s">
        <v>59</v>
      </c>
      <c r="E904" s="6" t="s">
        <v>425</v>
      </c>
      <c r="F904" s="6"/>
      <c r="G904" s="60">
        <f>G905</f>
        <v>0</v>
      </c>
      <c r="H904" s="3"/>
      <c r="I904" s="60">
        <f>I905</f>
        <v>0</v>
      </c>
      <c r="J904" s="3"/>
      <c r="K904" s="60">
        <f>K905</f>
        <v>0</v>
      </c>
      <c r="L904" s="133"/>
      <c r="M904" s="60">
        <f>M905</f>
        <v>0</v>
      </c>
      <c r="N904" s="133"/>
      <c r="O904" s="60">
        <f>O905</f>
        <v>0</v>
      </c>
      <c r="P904" s="133"/>
      <c r="Q904" s="60">
        <f>Q905</f>
        <v>0</v>
      </c>
    </row>
    <row r="905" spans="2:17" ht="33" customHeight="1" hidden="1">
      <c r="B905" s="7" t="s">
        <v>382</v>
      </c>
      <c r="C905" s="6"/>
      <c r="D905" s="44" t="s">
        <v>59</v>
      </c>
      <c r="E905" s="6" t="s">
        <v>425</v>
      </c>
      <c r="F905" s="6" t="s">
        <v>328</v>
      </c>
      <c r="G905" s="60">
        <v>0</v>
      </c>
      <c r="H905" s="3">
        <v>0</v>
      </c>
      <c r="I905" s="60">
        <f>G905+H905</f>
        <v>0</v>
      </c>
      <c r="J905" s="3">
        <v>0</v>
      </c>
      <c r="K905" s="60">
        <f>I905+J905</f>
        <v>0</v>
      </c>
      <c r="L905" s="133"/>
      <c r="M905" s="60">
        <f>K905+L905</f>
        <v>0</v>
      </c>
      <c r="N905" s="133"/>
      <c r="O905" s="60">
        <f>M905+N905</f>
        <v>0</v>
      </c>
      <c r="P905" s="133"/>
      <c r="Q905" s="60">
        <f>O905+P905</f>
        <v>0</v>
      </c>
    </row>
    <row r="906" spans="2:17" ht="15.75">
      <c r="B906" s="12" t="s">
        <v>64</v>
      </c>
      <c r="C906" s="6"/>
      <c r="D906" s="44" t="s">
        <v>59</v>
      </c>
      <c r="E906" s="6" t="s">
        <v>65</v>
      </c>
      <c r="F906" s="6"/>
      <c r="G906" s="60">
        <f>G907</f>
        <v>0</v>
      </c>
      <c r="H906" s="3"/>
      <c r="I906" s="60">
        <f>I907</f>
        <v>700000</v>
      </c>
      <c r="J906" s="3"/>
      <c r="K906" s="60">
        <f>K907</f>
        <v>700000</v>
      </c>
      <c r="L906" s="133"/>
      <c r="M906" s="60">
        <f>M907</f>
        <v>700000</v>
      </c>
      <c r="N906" s="133"/>
      <c r="O906" s="60">
        <f>O907</f>
        <v>680982.62</v>
      </c>
      <c r="P906" s="133"/>
      <c r="Q906" s="60">
        <f>Q907</f>
        <v>656782.62</v>
      </c>
    </row>
    <row r="907" spans="2:17" ht="31.5">
      <c r="B907" s="7" t="s">
        <v>382</v>
      </c>
      <c r="C907" s="6"/>
      <c r="D907" s="44" t="s">
        <v>59</v>
      </c>
      <c r="E907" s="6" t="s">
        <v>65</v>
      </c>
      <c r="F907" s="6" t="s">
        <v>328</v>
      </c>
      <c r="G907" s="60">
        <v>0</v>
      </c>
      <c r="H907" s="3">
        <v>700000</v>
      </c>
      <c r="I907" s="60">
        <f>G907+H907</f>
        <v>700000</v>
      </c>
      <c r="J907" s="3">
        <v>0</v>
      </c>
      <c r="K907" s="60">
        <f>I907+J907</f>
        <v>700000</v>
      </c>
      <c r="L907" s="133"/>
      <c r="M907" s="60">
        <f>K907+L907</f>
        <v>700000</v>
      </c>
      <c r="N907" s="133">
        <v>-19017.38</v>
      </c>
      <c r="O907" s="60">
        <f>M907+N907</f>
        <v>680982.62</v>
      </c>
      <c r="P907" s="133">
        <f>-20000-4200</f>
        <v>-24200</v>
      </c>
      <c r="Q907" s="60">
        <f>O907+P907</f>
        <v>656782.62</v>
      </c>
    </row>
    <row r="908" spans="2:17" ht="31.5">
      <c r="B908" s="12" t="s">
        <v>66</v>
      </c>
      <c r="C908" s="6"/>
      <c r="D908" s="44" t="s">
        <v>59</v>
      </c>
      <c r="E908" s="6" t="s">
        <v>67</v>
      </c>
      <c r="F908" s="6"/>
      <c r="G908" s="60">
        <f>G909</f>
        <v>0</v>
      </c>
      <c r="H908" s="3"/>
      <c r="I908" s="60">
        <f>I909</f>
        <v>3820000</v>
      </c>
      <c r="J908" s="3"/>
      <c r="K908" s="60">
        <f>K909</f>
        <v>3744400</v>
      </c>
      <c r="L908" s="133"/>
      <c r="M908" s="60">
        <f>M909</f>
        <v>3744400</v>
      </c>
      <c r="N908" s="133"/>
      <c r="O908" s="60">
        <f>O909</f>
        <v>3751796.38</v>
      </c>
      <c r="P908" s="133"/>
      <c r="Q908" s="60">
        <f>Q909</f>
        <v>3819605.38</v>
      </c>
    </row>
    <row r="909" spans="2:17" ht="36" customHeight="1">
      <c r="B909" s="7" t="s">
        <v>382</v>
      </c>
      <c r="C909" s="6"/>
      <c r="D909" s="44" t="s">
        <v>59</v>
      </c>
      <c r="E909" s="6" t="s">
        <v>67</v>
      </c>
      <c r="F909" s="6" t="s">
        <v>328</v>
      </c>
      <c r="G909" s="60">
        <v>0</v>
      </c>
      <c r="H909" s="3">
        <v>3820000</v>
      </c>
      <c r="I909" s="60">
        <f>G909+H909</f>
        <v>3820000</v>
      </c>
      <c r="J909" s="3">
        <v>-75600</v>
      </c>
      <c r="K909" s="60">
        <f>I909+J909</f>
        <v>3744400</v>
      </c>
      <c r="L909" s="133"/>
      <c r="M909" s="60">
        <f>K909+L909</f>
        <v>3744400</v>
      </c>
      <c r="N909" s="133">
        <v>7396.38</v>
      </c>
      <c r="O909" s="60">
        <f>M909+N909</f>
        <v>3751796.38</v>
      </c>
      <c r="P909" s="133">
        <f>4200+63609</f>
        <v>67809</v>
      </c>
      <c r="Q909" s="60">
        <f>O909+P909</f>
        <v>3819605.38</v>
      </c>
    </row>
    <row r="910" spans="2:17" ht="15.75">
      <c r="B910" s="12" t="s">
        <v>313</v>
      </c>
      <c r="C910" s="6"/>
      <c r="D910" s="44" t="s">
        <v>59</v>
      </c>
      <c r="E910" s="6" t="s">
        <v>104</v>
      </c>
      <c r="F910" s="6"/>
      <c r="G910" s="60" t="e">
        <f>#REF!+G911</f>
        <v>#REF!</v>
      </c>
      <c r="H910" s="3"/>
      <c r="I910" s="60">
        <f>I911</f>
        <v>126000</v>
      </c>
      <c r="J910" s="3"/>
      <c r="K910" s="60">
        <f>K911</f>
        <v>151600</v>
      </c>
      <c r="L910" s="133"/>
      <c r="M910" s="60">
        <f>M911</f>
        <v>151600</v>
      </c>
      <c r="N910" s="133"/>
      <c r="O910" s="60">
        <f>O911</f>
        <v>151600</v>
      </c>
      <c r="P910" s="133"/>
      <c r="Q910" s="60">
        <f>Q911</f>
        <v>151600</v>
      </c>
    </row>
    <row r="911" spans="2:17" ht="50.25" customHeight="1">
      <c r="B911" s="23" t="s">
        <v>567</v>
      </c>
      <c r="C911" s="6"/>
      <c r="D911" s="44" t="s">
        <v>59</v>
      </c>
      <c r="E911" s="6" t="s">
        <v>293</v>
      </c>
      <c r="F911" s="6"/>
      <c r="G911" s="60" t="e">
        <f>#REF!+G912</f>
        <v>#REF!</v>
      </c>
      <c r="H911" s="3"/>
      <c r="I911" s="60">
        <f>I912</f>
        <v>126000</v>
      </c>
      <c r="J911" s="3"/>
      <c r="K911" s="60">
        <f>K912</f>
        <v>151600</v>
      </c>
      <c r="L911" s="133"/>
      <c r="M911" s="60">
        <f>M912</f>
        <v>151600</v>
      </c>
      <c r="N911" s="133"/>
      <c r="O911" s="60">
        <f>O912</f>
        <v>151600</v>
      </c>
      <c r="P911" s="133"/>
      <c r="Q911" s="60">
        <f>Q912</f>
        <v>151600</v>
      </c>
    </row>
    <row r="912" spans="2:17" ht="34.5" customHeight="1">
      <c r="B912" s="7" t="s">
        <v>382</v>
      </c>
      <c r="C912" s="6"/>
      <c r="D912" s="44" t="s">
        <v>59</v>
      </c>
      <c r="E912" s="103" t="s">
        <v>293</v>
      </c>
      <c r="F912" s="103" t="s">
        <v>328</v>
      </c>
      <c r="G912" s="60">
        <v>0</v>
      </c>
      <c r="H912" s="3">
        <v>126000</v>
      </c>
      <c r="I912" s="60">
        <f>G912+H912</f>
        <v>126000</v>
      </c>
      <c r="J912" s="3">
        <v>25600</v>
      </c>
      <c r="K912" s="60">
        <f>I912+J912</f>
        <v>151600</v>
      </c>
      <c r="L912" s="133"/>
      <c r="M912" s="60">
        <f>K912+L912</f>
        <v>151600</v>
      </c>
      <c r="N912" s="133"/>
      <c r="O912" s="60">
        <f>M912+N912</f>
        <v>151600</v>
      </c>
      <c r="P912" s="133"/>
      <c r="Q912" s="60">
        <f>O912+P912</f>
        <v>151600</v>
      </c>
    </row>
    <row r="913" spans="2:17" ht="67.5" customHeight="1" hidden="1">
      <c r="B913" s="106" t="s">
        <v>440</v>
      </c>
      <c r="C913" s="6"/>
      <c r="D913" s="44" t="s">
        <v>59</v>
      </c>
      <c r="E913" s="103" t="s">
        <v>441</v>
      </c>
      <c r="F913" s="6"/>
      <c r="G913" s="60">
        <f>G914</f>
        <v>0</v>
      </c>
      <c r="H913" s="3"/>
      <c r="I913" s="60">
        <f>I914</f>
        <v>0</v>
      </c>
      <c r="J913" s="3"/>
      <c r="K913" s="60">
        <f>K914</f>
        <v>0</v>
      </c>
      <c r="L913" s="133"/>
      <c r="M913" s="60">
        <f>M914</f>
        <v>0</v>
      </c>
      <c r="N913" s="133"/>
      <c r="O913" s="60">
        <f>O914</f>
        <v>0</v>
      </c>
      <c r="P913" s="133"/>
      <c r="Q913" s="60">
        <f>Q914</f>
        <v>0</v>
      </c>
    </row>
    <row r="914" spans="2:17" ht="50.25" customHeight="1" hidden="1">
      <c r="B914" s="107" t="s">
        <v>384</v>
      </c>
      <c r="C914" s="6"/>
      <c r="D914" s="6" t="s">
        <v>59</v>
      </c>
      <c r="E914" s="103" t="s">
        <v>441</v>
      </c>
      <c r="F914" s="103" t="s">
        <v>383</v>
      </c>
      <c r="G914" s="60">
        <v>0</v>
      </c>
      <c r="H914" s="3">
        <v>0</v>
      </c>
      <c r="I914" s="60">
        <f>G914+H914</f>
        <v>0</v>
      </c>
      <c r="J914" s="3">
        <v>0</v>
      </c>
      <c r="K914" s="60">
        <f>I914+J914</f>
        <v>0</v>
      </c>
      <c r="L914" s="133"/>
      <c r="M914" s="60">
        <f>K914+L914</f>
        <v>0</v>
      </c>
      <c r="N914" s="133"/>
      <c r="O914" s="60">
        <f>M914+N914</f>
        <v>0</v>
      </c>
      <c r="P914" s="133"/>
      <c r="Q914" s="60">
        <f>O914+P914</f>
        <v>0</v>
      </c>
    </row>
    <row r="915" spans="2:17" ht="35.25" customHeight="1">
      <c r="B915" s="17" t="s">
        <v>68</v>
      </c>
      <c r="C915" s="6"/>
      <c r="D915" s="44" t="s">
        <v>69</v>
      </c>
      <c r="E915" s="6"/>
      <c r="F915" s="6"/>
      <c r="G915" s="60">
        <f>G916+G918</f>
        <v>0</v>
      </c>
      <c r="H915" s="3"/>
      <c r="I915" s="60">
        <f>I916+I918</f>
        <v>4413500</v>
      </c>
      <c r="J915" s="3"/>
      <c r="K915" s="60">
        <f>K916+K918</f>
        <v>4413500</v>
      </c>
      <c r="L915" s="133"/>
      <c r="M915" s="60">
        <f>M916+M918</f>
        <v>4413500</v>
      </c>
      <c r="N915" s="133"/>
      <c r="O915" s="60">
        <f>O916+O918</f>
        <v>3313500</v>
      </c>
      <c r="P915" s="133"/>
      <c r="Q915" s="60">
        <f>Q916+Q918</f>
        <v>3313500</v>
      </c>
    </row>
    <row r="916" spans="2:17" ht="33.75" customHeight="1">
      <c r="B916" s="17" t="s">
        <v>275</v>
      </c>
      <c r="C916" s="6"/>
      <c r="D916" s="44" t="s">
        <v>69</v>
      </c>
      <c r="E916" s="6" t="s">
        <v>184</v>
      </c>
      <c r="F916" s="6"/>
      <c r="G916" s="60">
        <f>G917</f>
        <v>0</v>
      </c>
      <c r="H916" s="3"/>
      <c r="I916" s="60">
        <f>I917</f>
        <v>300000</v>
      </c>
      <c r="J916" s="3"/>
      <c r="K916" s="60">
        <f>K917</f>
        <v>300000</v>
      </c>
      <c r="L916" s="133"/>
      <c r="M916" s="60">
        <f>M917</f>
        <v>300000</v>
      </c>
      <c r="N916" s="133"/>
      <c r="O916" s="60">
        <f>O917</f>
        <v>300000</v>
      </c>
      <c r="P916" s="133"/>
      <c r="Q916" s="60">
        <f>Q917</f>
        <v>300000</v>
      </c>
    </row>
    <row r="917" spans="2:17" ht="52.5" customHeight="1">
      <c r="B917" s="31" t="s">
        <v>359</v>
      </c>
      <c r="C917" s="6"/>
      <c r="D917" s="44" t="s">
        <v>69</v>
      </c>
      <c r="E917" s="6" t="s">
        <v>58</v>
      </c>
      <c r="F917" s="6" t="s">
        <v>360</v>
      </c>
      <c r="G917" s="60">
        <v>0</v>
      </c>
      <c r="H917" s="3">
        <v>300000</v>
      </c>
      <c r="I917" s="60">
        <f>G917+H917</f>
        <v>300000</v>
      </c>
      <c r="J917" s="3">
        <v>0</v>
      </c>
      <c r="K917" s="60">
        <f>I917+J917</f>
        <v>300000</v>
      </c>
      <c r="L917" s="133"/>
      <c r="M917" s="60">
        <f>K917+L917</f>
        <v>300000</v>
      </c>
      <c r="N917" s="133"/>
      <c r="O917" s="60">
        <f>M917+N917</f>
        <v>300000</v>
      </c>
      <c r="P917" s="133"/>
      <c r="Q917" s="60">
        <f>O917+P917</f>
        <v>300000</v>
      </c>
    </row>
    <row r="918" spans="2:17" ht="15.75">
      <c r="B918" s="12" t="s">
        <v>313</v>
      </c>
      <c r="C918" s="44"/>
      <c r="D918" s="44" t="s">
        <v>69</v>
      </c>
      <c r="E918" s="44" t="s">
        <v>104</v>
      </c>
      <c r="F918" s="44"/>
      <c r="G918" s="60">
        <f>G920</f>
        <v>0</v>
      </c>
      <c r="H918" s="40"/>
      <c r="I918" s="60">
        <f>I919</f>
        <v>4113500</v>
      </c>
      <c r="J918" s="40"/>
      <c r="K918" s="60">
        <f>K919</f>
        <v>4113500</v>
      </c>
      <c r="L918" s="135"/>
      <c r="M918" s="60">
        <f>M919</f>
        <v>4113500</v>
      </c>
      <c r="N918" s="135"/>
      <c r="O918" s="60">
        <f>O919</f>
        <v>3013500</v>
      </c>
      <c r="P918" s="135"/>
      <c r="Q918" s="60">
        <f>Q919</f>
        <v>3013500</v>
      </c>
    </row>
    <row r="919" spans="2:17" ht="83.25" customHeight="1">
      <c r="B919" s="100" t="s">
        <v>476</v>
      </c>
      <c r="C919" s="44"/>
      <c r="D919" s="101" t="s">
        <v>69</v>
      </c>
      <c r="E919" s="101" t="s">
        <v>292</v>
      </c>
      <c r="F919" s="44"/>
      <c r="G919" s="60"/>
      <c r="H919" s="40"/>
      <c r="I919" s="60">
        <f>I920</f>
        <v>4113500</v>
      </c>
      <c r="J919" s="40"/>
      <c r="K919" s="60">
        <f>K920</f>
        <v>4113500</v>
      </c>
      <c r="L919" s="135"/>
      <c r="M919" s="60">
        <f>M920</f>
        <v>4113500</v>
      </c>
      <c r="N919" s="135"/>
      <c r="O919" s="60">
        <f>O920</f>
        <v>3013500</v>
      </c>
      <c r="P919" s="135"/>
      <c r="Q919" s="60">
        <f>Q920</f>
        <v>3013500</v>
      </c>
    </row>
    <row r="920" spans="2:17" ht="48" customHeight="1">
      <c r="B920" s="31" t="s">
        <v>384</v>
      </c>
      <c r="C920" s="6"/>
      <c r="D920" s="44" t="s">
        <v>69</v>
      </c>
      <c r="E920" s="6" t="s">
        <v>292</v>
      </c>
      <c r="F920" s="6" t="s">
        <v>383</v>
      </c>
      <c r="G920" s="60">
        <v>0</v>
      </c>
      <c r="H920" s="3">
        <v>4113500</v>
      </c>
      <c r="I920" s="60">
        <f>G920+H920</f>
        <v>4113500</v>
      </c>
      <c r="J920" s="3">
        <v>0</v>
      </c>
      <c r="K920" s="60">
        <f>I920+J920</f>
        <v>4113500</v>
      </c>
      <c r="L920" s="133"/>
      <c r="M920" s="60">
        <f>K920+L920</f>
        <v>4113500</v>
      </c>
      <c r="N920" s="133">
        <v>-1100000</v>
      </c>
      <c r="O920" s="60">
        <f>M920+N920</f>
        <v>3013500</v>
      </c>
      <c r="P920" s="133"/>
      <c r="Q920" s="60">
        <f>O920+P920</f>
        <v>3013500</v>
      </c>
    </row>
    <row r="921" spans="2:17" ht="19.5" customHeight="1">
      <c r="B921" s="83" t="s">
        <v>70</v>
      </c>
      <c r="C921" s="8" t="s">
        <v>71</v>
      </c>
      <c r="D921" s="45" t="s">
        <v>71</v>
      </c>
      <c r="E921" s="8"/>
      <c r="F921" s="8"/>
      <c r="G921" s="60">
        <f>G926+G923</f>
        <v>0</v>
      </c>
      <c r="H921" s="3"/>
      <c r="I921" s="60">
        <f>I923+I926</f>
        <v>637000</v>
      </c>
      <c r="J921" s="3"/>
      <c r="K921" s="60">
        <f>K923+K926</f>
        <v>637000</v>
      </c>
      <c r="L921" s="133"/>
      <c r="M921" s="60">
        <f>M923+M926</f>
        <v>537000</v>
      </c>
      <c r="N921" s="133"/>
      <c r="O921" s="60">
        <f>O923+O926</f>
        <v>537000</v>
      </c>
      <c r="P921" s="133"/>
      <c r="Q921" s="60">
        <f>Q923+Q926</f>
        <v>537000</v>
      </c>
    </row>
    <row r="922" spans="2:17" ht="18" customHeight="1" hidden="1">
      <c r="B922" s="7" t="s">
        <v>382</v>
      </c>
      <c r="C922" s="8" t="s">
        <v>200</v>
      </c>
      <c r="D922" s="8" t="s">
        <v>203</v>
      </c>
      <c r="E922" s="8" t="s">
        <v>386</v>
      </c>
      <c r="F922" s="8" t="s">
        <v>328</v>
      </c>
      <c r="G922" s="60">
        <v>0</v>
      </c>
      <c r="H922" s="52"/>
      <c r="I922" s="60">
        <f>G922+H922</f>
        <v>0</v>
      </c>
      <c r="J922" s="52"/>
      <c r="K922" s="60">
        <f>I922+J922</f>
        <v>0</v>
      </c>
      <c r="L922" s="138"/>
      <c r="M922" s="60">
        <f>K922+L922</f>
        <v>0</v>
      </c>
      <c r="N922" s="138"/>
      <c r="O922" s="60">
        <f>M922+N922</f>
        <v>0</v>
      </c>
      <c r="P922" s="138"/>
      <c r="Q922" s="60">
        <f>O922+P922</f>
        <v>0</v>
      </c>
    </row>
    <row r="923" spans="2:17" ht="15.75" customHeight="1">
      <c r="B923" s="105" t="s">
        <v>482</v>
      </c>
      <c r="C923" s="8"/>
      <c r="D923" s="98" t="s">
        <v>203</v>
      </c>
      <c r="E923" s="8"/>
      <c r="F923" s="8"/>
      <c r="G923" s="60"/>
      <c r="H923" s="52"/>
      <c r="I923" s="60">
        <f>I924</f>
        <v>100000</v>
      </c>
      <c r="J923" s="52"/>
      <c r="K923" s="60">
        <f>K924</f>
        <v>100000</v>
      </c>
      <c r="L923" s="138"/>
      <c r="M923" s="60">
        <f>M924</f>
        <v>100000</v>
      </c>
      <c r="N923" s="138"/>
      <c r="O923" s="60">
        <f>O924</f>
        <v>100000</v>
      </c>
      <c r="P923" s="138"/>
      <c r="Q923" s="60">
        <f>Q924</f>
        <v>100000</v>
      </c>
    </row>
    <row r="924" spans="2:17" ht="33" customHeight="1">
      <c r="B924" s="105" t="s">
        <v>486</v>
      </c>
      <c r="C924" s="8"/>
      <c r="D924" s="98" t="s">
        <v>203</v>
      </c>
      <c r="E924" s="8" t="s">
        <v>483</v>
      </c>
      <c r="F924" s="8"/>
      <c r="G924" s="60"/>
      <c r="H924" s="52"/>
      <c r="I924" s="60">
        <f>I925</f>
        <v>100000</v>
      </c>
      <c r="J924" s="52"/>
      <c r="K924" s="60">
        <f>K925</f>
        <v>100000</v>
      </c>
      <c r="L924" s="138"/>
      <c r="M924" s="60">
        <f>M925</f>
        <v>100000</v>
      </c>
      <c r="N924" s="138"/>
      <c r="O924" s="60">
        <f>O925</f>
        <v>100000</v>
      </c>
      <c r="P924" s="138"/>
      <c r="Q924" s="60">
        <f>Q925</f>
        <v>100000</v>
      </c>
    </row>
    <row r="925" spans="2:17" ht="35.25" customHeight="1">
      <c r="B925" s="109" t="s">
        <v>382</v>
      </c>
      <c r="C925" s="8"/>
      <c r="D925" s="98" t="s">
        <v>203</v>
      </c>
      <c r="E925" s="8" t="s">
        <v>483</v>
      </c>
      <c r="F925" s="8" t="s">
        <v>328</v>
      </c>
      <c r="G925" s="60"/>
      <c r="H925" s="52"/>
      <c r="I925" s="60">
        <v>100000</v>
      </c>
      <c r="J925" s="52"/>
      <c r="K925" s="60">
        <v>100000</v>
      </c>
      <c r="L925" s="138"/>
      <c r="M925" s="60">
        <v>100000</v>
      </c>
      <c r="N925" s="138"/>
      <c r="O925" s="60">
        <v>100000</v>
      </c>
      <c r="P925" s="138"/>
      <c r="Q925" s="60">
        <v>100000</v>
      </c>
    </row>
    <row r="926" spans="2:17" ht="31.5">
      <c r="B926" s="7" t="s">
        <v>72</v>
      </c>
      <c r="C926" s="8"/>
      <c r="D926" s="46" t="s">
        <v>73</v>
      </c>
      <c r="E926" s="8"/>
      <c r="F926" s="8"/>
      <c r="G926" s="60">
        <f>G927</f>
        <v>0</v>
      </c>
      <c r="H926" s="3"/>
      <c r="I926" s="60">
        <f>I927</f>
        <v>537000</v>
      </c>
      <c r="J926" s="3"/>
      <c r="K926" s="60">
        <f>K927</f>
        <v>537000</v>
      </c>
      <c r="L926" s="133"/>
      <c r="M926" s="60">
        <f>M927</f>
        <v>437000</v>
      </c>
      <c r="N926" s="133"/>
      <c r="O926" s="60">
        <f>O927</f>
        <v>437000</v>
      </c>
      <c r="P926" s="133"/>
      <c r="Q926" s="60">
        <f>Q927</f>
        <v>437000</v>
      </c>
    </row>
    <row r="927" spans="2:17" ht="31.5">
      <c r="B927" s="105" t="s">
        <v>486</v>
      </c>
      <c r="C927" s="8"/>
      <c r="D927" s="46" t="s">
        <v>73</v>
      </c>
      <c r="E927" s="8" t="s">
        <v>483</v>
      </c>
      <c r="F927" s="8"/>
      <c r="G927" s="60">
        <f>G928</f>
        <v>0</v>
      </c>
      <c r="H927" s="3"/>
      <c r="I927" s="60">
        <f>I928</f>
        <v>537000</v>
      </c>
      <c r="J927" s="3"/>
      <c r="K927" s="60">
        <f>K928</f>
        <v>537000</v>
      </c>
      <c r="L927" s="133"/>
      <c r="M927" s="60">
        <f>M928</f>
        <v>437000</v>
      </c>
      <c r="N927" s="133"/>
      <c r="O927" s="60">
        <f>O928</f>
        <v>437000</v>
      </c>
      <c r="P927" s="133"/>
      <c r="Q927" s="60">
        <f>Q928</f>
        <v>437000</v>
      </c>
    </row>
    <row r="928" spans="2:17" ht="31.5" customHeight="1">
      <c r="B928" s="7" t="s">
        <v>382</v>
      </c>
      <c r="C928" s="8"/>
      <c r="D928" s="46" t="s">
        <v>73</v>
      </c>
      <c r="E928" s="8" t="s">
        <v>483</v>
      </c>
      <c r="F928" s="8" t="s">
        <v>328</v>
      </c>
      <c r="G928" s="60">
        <v>0</v>
      </c>
      <c r="H928" s="3">
        <v>637000</v>
      </c>
      <c r="I928" s="60">
        <v>537000</v>
      </c>
      <c r="J928" s="3">
        <v>0</v>
      </c>
      <c r="K928" s="60">
        <v>537000</v>
      </c>
      <c r="L928" s="133">
        <v>-100000</v>
      </c>
      <c r="M928" s="60">
        <f>K928+L928</f>
        <v>437000</v>
      </c>
      <c r="N928" s="133"/>
      <c r="O928" s="60">
        <f>M928+N928</f>
        <v>437000</v>
      </c>
      <c r="P928" s="133"/>
      <c r="Q928" s="60">
        <f>O928+P928</f>
        <v>437000</v>
      </c>
    </row>
    <row r="929" spans="2:17" ht="19.5" customHeight="1">
      <c r="B929" s="75" t="s">
        <v>74</v>
      </c>
      <c r="C929" s="6" t="s">
        <v>75</v>
      </c>
      <c r="D929" s="47" t="s">
        <v>75</v>
      </c>
      <c r="E929" s="6"/>
      <c r="F929" s="6"/>
      <c r="G929" s="60" t="e">
        <f>G930+G963+G1013+G1048</f>
        <v>#REF!</v>
      </c>
      <c r="H929" s="118"/>
      <c r="I929" s="60">
        <f>I930+I963+I1013+I1048</f>
        <v>229842220</v>
      </c>
      <c r="J929" s="118"/>
      <c r="K929" s="60">
        <f>K930+K963+K1013+K1048</f>
        <v>230133720</v>
      </c>
      <c r="L929" s="141"/>
      <c r="M929" s="60">
        <f>M930+M963+M1013+M1048</f>
        <v>236325888</v>
      </c>
      <c r="N929" s="141"/>
      <c r="O929" s="60">
        <f>O930+O963+O1013+O1048</f>
        <v>250791319.13</v>
      </c>
      <c r="P929" s="141"/>
      <c r="Q929" s="60">
        <f>Q930+Q963+Q1013+Q1048</f>
        <v>311576319.13</v>
      </c>
    </row>
    <row r="930" spans="2:17" ht="15.75">
      <c r="B930" s="12" t="s">
        <v>132</v>
      </c>
      <c r="C930" s="6"/>
      <c r="D930" s="44" t="s">
        <v>133</v>
      </c>
      <c r="E930" s="6"/>
      <c r="F930" s="6"/>
      <c r="G930" s="60" t="e">
        <f>G934+G947+#REF!+#REF!</f>
        <v>#REF!</v>
      </c>
      <c r="H930" s="118"/>
      <c r="I930" s="60">
        <f>I933</f>
        <v>114025259</v>
      </c>
      <c r="J930" s="118"/>
      <c r="K930" s="60">
        <f>K933</f>
        <v>129423356</v>
      </c>
      <c r="L930" s="141"/>
      <c r="M930" s="60">
        <f>M933+M947+M957</f>
        <v>128368155</v>
      </c>
      <c r="N930" s="141"/>
      <c r="O930" s="60">
        <f>O933+O947+O957+O931</f>
        <v>126825253.39</v>
      </c>
      <c r="P930" s="141"/>
      <c r="Q930" s="60">
        <f>Q933+Q947+Q957+Q931+Q960</f>
        <v>179614199.16</v>
      </c>
    </row>
    <row r="931" spans="2:17" s="168" customFormat="1" ht="15.75">
      <c r="B931" s="166" t="s">
        <v>454</v>
      </c>
      <c r="C931" s="6"/>
      <c r="D931" s="97" t="s">
        <v>133</v>
      </c>
      <c r="E931" s="97" t="s">
        <v>211</v>
      </c>
      <c r="F931" s="97"/>
      <c r="G931" s="167"/>
      <c r="H931" s="112"/>
      <c r="I931" s="167"/>
      <c r="J931" s="112"/>
      <c r="K931" s="167"/>
      <c r="L931" s="134"/>
      <c r="M931" s="167"/>
      <c r="N931" s="134"/>
      <c r="O931" s="167">
        <f>O932</f>
        <v>100000</v>
      </c>
      <c r="P931" s="134"/>
      <c r="Q931" s="167">
        <f>Q932</f>
        <v>100000</v>
      </c>
    </row>
    <row r="932" spans="2:17" s="168" customFormat="1" ht="31.5">
      <c r="B932" s="109" t="s">
        <v>382</v>
      </c>
      <c r="C932" s="6"/>
      <c r="D932" s="97" t="s">
        <v>133</v>
      </c>
      <c r="E932" s="97" t="s">
        <v>211</v>
      </c>
      <c r="F932" s="97" t="s">
        <v>328</v>
      </c>
      <c r="G932" s="167"/>
      <c r="H932" s="112"/>
      <c r="I932" s="167"/>
      <c r="J932" s="112"/>
      <c r="K932" s="167"/>
      <c r="L932" s="134"/>
      <c r="M932" s="167"/>
      <c r="N932" s="134">
        <v>100000</v>
      </c>
      <c r="O932" s="167">
        <f>M932+N932</f>
        <v>100000</v>
      </c>
      <c r="P932" s="134"/>
      <c r="Q932" s="167">
        <f>O932+P932</f>
        <v>100000</v>
      </c>
    </row>
    <row r="933" spans="2:17" ht="15.75">
      <c r="B933" s="12" t="s">
        <v>134</v>
      </c>
      <c r="C933" s="6"/>
      <c r="D933" s="44" t="s">
        <v>133</v>
      </c>
      <c r="E933" s="6" t="s">
        <v>135</v>
      </c>
      <c r="F933" s="6"/>
      <c r="G933" s="60"/>
      <c r="H933" s="118"/>
      <c r="I933" s="60">
        <f>I934+I941+I943</f>
        <v>114025259</v>
      </c>
      <c r="J933" s="118"/>
      <c r="K933" s="60">
        <f>K934+K941+K943</f>
        <v>129423356</v>
      </c>
      <c r="L933" s="141"/>
      <c r="M933" s="60">
        <f>M934+M941+M943+M945</f>
        <v>127736155</v>
      </c>
      <c r="N933" s="141"/>
      <c r="O933" s="60">
        <f>O934+O941+O943+O945</f>
        <v>126093253.39</v>
      </c>
      <c r="P933" s="141"/>
      <c r="Q933" s="60">
        <f>Q934+Q941+Q943+Q945</f>
        <v>125886727.16</v>
      </c>
    </row>
    <row r="934" spans="2:17" ht="15.75">
      <c r="B934" s="12" t="s">
        <v>134</v>
      </c>
      <c r="C934" s="6"/>
      <c r="D934" s="44" t="s">
        <v>133</v>
      </c>
      <c r="E934" s="6" t="s">
        <v>135</v>
      </c>
      <c r="F934" s="6"/>
      <c r="G934" s="60">
        <f>G935+G936+G937+G938+G939+G940+G941+G943</f>
        <v>0</v>
      </c>
      <c r="H934" s="118"/>
      <c r="I934" s="60">
        <f>I935+I936+I937+I938+I939+I940</f>
        <v>101543655</v>
      </c>
      <c r="J934" s="118"/>
      <c r="K934" s="60">
        <f>K935+K936+K937+K938+K939+K940</f>
        <v>116941752</v>
      </c>
      <c r="L934" s="141"/>
      <c r="M934" s="60">
        <f>M935+M936+M937+M938+M939+M940</f>
        <v>106322543</v>
      </c>
      <c r="N934" s="141"/>
      <c r="O934" s="60">
        <f>O935+O936+O937+O938+O939+O940</f>
        <v>104679641.39</v>
      </c>
      <c r="P934" s="141"/>
      <c r="Q934" s="60">
        <f>Q935+Q936+Q937+Q938+Q939+Q940</f>
        <v>104473115.16</v>
      </c>
    </row>
    <row r="935" spans="2:17" ht="18" customHeight="1">
      <c r="B935" s="31" t="s">
        <v>320</v>
      </c>
      <c r="C935" s="6"/>
      <c r="D935" s="8" t="s">
        <v>133</v>
      </c>
      <c r="E935" s="8" t="s">
        <v>135</v>
      </c>
      <c r="F935" s="8" t="s">
        <v>325</v>
      </c>
      <c r="G935" s="86">
        <v>0</v>
      </c>
      <c r="H935" s="118">
        <v>74461823</v>
      </c>
      <c r="I935" s="86">
        <f aca="true" t="shared" si="42" ref="I935:K940">G935+H935</f>
        <v>74461823</v>
      </c>
      <c r="J935" s="118">
        <v>21404000</v>
      </c>
      <c r="K935" s="86">
        <f t="shared" si="42"/>
        <v>95865823</v>
      </c>
      <c r="L935" s="141">
        <v>-8604305</v>
      </c>
      <c r="M935" s="86">
        <f aca="true" t="shared" si="43" ref="M935:O940">K935+L935</f>
        <v>87261518</v>
      </c>
      <c r="N935" s="141">
        <f>-4969-315001.81-1110606</f>
        <v>-1430576.81</v>
      </c>
      <c r="O935" s="86">
        <f t="shared" si="43"/>
        <v>85830941.19</v>
      </c>
      <c r="P935" s="141">
        <v>-200000</v>
      </c>
      <c r="Q935" s="86">
        <f aca="true" t="shared" si="44" ref="Q935:Q940">O935+P935</f>
        <v>85630941.19</v>
      </c>
    </row>
    <row r="936" spans="2:17" ht="30.75" customHeight="1">
      <c r="B936" s="31" t="s">
        <v>321</v>
      </c>
      <c r="C936" s="6"/>
      <c r="D936" s="8" t="s">
        <v>133</v>
      </c>
      <c r="E936" s="8" t="s">
        <v>135</v>
      </c>
      <c r="F936" s="8" t="s">
        <v>326</v>
      </c>
      <c r="G936" s="86">
        <v>0</v>
      </c>
      <c r="H936" s="118">
        <v>241110</v>
      </c>
      <c r="I936" s="86">
        <f t="shared" si="42"/>
        <v>241110</v>
      </c>
      <c r="J936" s="118">
        <v>0</v>
      </c>
      <c r="K936" s="86">
        <f t="shared" si="42"/>
        <v>241110</v>
      </c>
      <c r="L936" s="141">
        <v>-28650</v>
      </c>
      <c r="M936" s="86">
        <f t="shared" si="43"/>
        <v>212460</v>
      </c>
      <c r="N936" s="141">
        <v>-4670.44</v>
      </c>
      <c r="O936" s="86">
        <f t="shared" si="43"/>
        <v>207789.56</v>
      </c>
      <c r="P936" s="141"/>
      <c r="Q936" s="86">
        <f t="shared" si="44"/>
        <v>207789.56</v>
      </c>
    </row>
    <row r="937" spans="2:17" ht="47.25">
      <c r="B937" s="31" t="s">
        <v>322</v>
      </c>
      <c r="C937" s="6"/>
      <c r="D937" s="8" t="s">
        <v>133</v>
      </c>
      <c r="E937" s="8" t="s">
        <v>135</v>
      </c>
      <c r="F937" s="8" t="s">
        <v>327</v>
      </c>
      <c r="G937" s="86">
        <v>0</v>
      </c>
      <c r="H937" s="118">
        <v>645005</v>
      </c>
      <c r="I937" s="86">
        <f t="shared" si="42"/>
        <v>645005</v>
      </c>
      <c r="J937" s="118">
        <v>0</v>
      </c>
      <c r="K937" s="86">
        <f t="shared" si="42"/>
        <v>645005</v>
      </c>
      <c r="L937" s="141">
        <f>-70000-107972</f>
        <v>-177972</v>
      </c>
      <c r="M937" s="86">
        <f t="shared" si="43"/>
        <v>467033</v>
      </c>
      <c r="N937" s="141">
        <v>-29451.94</v>
      </c>
      <c r="O937" s="86">
        <f t="shared" si="43"/>
        <v>437581.06</v>
      </c>
      <c r="P937" s="141"/>
      <c r="Q937" s="86">
        <f t="shared" si="44"/>
        <v>437581.06</v>
      </c>
    </row>
    <row r="938" spans="2:17" ht="49.5" customHeight="1">
      <c r="B938" s="31" t="s">
        <v>376</v>
      </c>
      <c r="C938" s="6"/>
      <c r="D938" s="8" t="s">
        <v>133</v>
      </c>
      <c r="E938" s="8" t="s">
        <v>135</v>
      </c>
      <c r="F938" s="8" t="s">
        <v>331</v>
      </c>
      <c r="G938" s="86">
        <v>0</v>
      </c>
      <c r="H938" s="118">
        <v>238110</v>
      </c>
      <c r="I938" s="86">
        <f t="shared" si="42"/>
        <v>238110</v>
      </c>
      <c r="J938" s="118">
        <v>0</v>
      </c>
      <c r="K938" s="86">
        <f t="shared" si="42"/>
        <v>238110</v>
      </c>
      <c r="L938" s="141">
        <v>-97000</v>
      </c>
      <c r="M938" s="86">
        <f t="shared" si="43"/>
        <v>141110</v>
      </c>
      <c r="N938" s="141">
        <v>0</v>
      </c>
      <c r="O938" s="86">
        <f t="shared" si="43"/>
        <v>141110</v>
      </c>
      <c r="P938" s="141"/>
      <c r="Q938" s="86">
        <f t="shared" si="44"/>
        <v>141110</v>
      </c>
    </row>
    <row r="939" spans="2:17" ht="30.75" customHeight="1">
      <c r="B939" s="31" t="s">
        <v>382</v>
      </c>
      <c r="C939" s="6"/>
      <c r="D939" s="8" t="s">
        <v>133</v>
      </c>
      <c r="E939" s="8" t="s">
        <v>135</v>
      </c>
      <c r="F939" s="8" t="s">
        <v>328</v>
      </c>
      <c r="G939" s="86">
        <v>0</v>
      </c>
      <c r="H939" s="118">
        <v>25857607</v>
      </c>
      <c r="I939" s="86">
        <f t="shared" si="42"/>
        <v>25857607</v>
      </c>
      <c r="J939" s="118">
        <v>-5905903</v>
      </c>
      <c r="K939" s="86">
        <f t="shared" si="42"/>
        <v>19951704</v>
      </c>
      <c r="L939" s="141">
        <v>-1711282</v>
      </c>
      <c r="M939" s="86">
        <f t="shared" si="43"/>
        <v>18240422</v>
      </c>
      <c r="N939" s="141">
        <v>-178202.42</v>
      </c>
      <c r="O939" s="86">
        <f t="shared" si="43"/>
        <v>18062219.58</v>
      </c>
      <c r="P939" s="141">
        <v>-6526.23</v>
      </c>
      <c r="Q939" s="86">
        <f t="shared" si="44"/>
        <v>18055693.349999998</v>
      </c>
    </row>
    <row r="940" spans="2:17" ht="30.75" customHeight="1">
      <c r="B940" s="31" t="s">
        <v>324</v>
      </c>
      <c r="C940" s="6"/>
      <c r="D940" s="8" t="s">
        <v>133</v>
      </c>
      <c r="E940" s="8" t="s">
        <v>135</v>
      </c>
      <c r="F940" s="8" t="s">
        <v>329</v>
      </c>
      <c r="G940" s="86">
        <v>0</v>
      </c>
      <c r="H940" s="118">
        <v>100000</v>
      </c>
      <c r="I940" s="86">
        <f t="shared" si="42"/>
        <v>100000</v>
      </c>
      <c r="J940" s="118">
        <v>-100000</v>
      </c>
      <c r="K940" s="86">
        <f t="shared" si="42"/>
        <v>0</v>
      </c>
      <c r="L940" s="141"/>
      <c r="M940" s="86">
        <f t="shared" si="43"/>
        <v>0</v>
      </c>
      <c r="N940" s="141"/>
      <c r="O940" s="86">
        <f t="shared" si="43"/>
        <v>0</v>
      </c>
      <c r="P940" s="141"/>
      <c r="Q940" s="86">
        <f t="shared" si="44"/>
        <v>0</v>
      </c>
    </row>
    <row r="941" spans="2:17" ht="30.75" customHeight="1">
      <c r="B941" s="31" t="s">
        <v>79</v>
      </c>
      <c r="C941" s="8" t="s">
        <v>231</v>
      </c>
      <c r="D941" s="8" t="s">
        <v>133</v>
      </c>
      <c r="E941" s="8" t="s">
        <v>431</v>
      </c>
      <c r="F941" s="8"/>
      <c r="G941" s="86">
        <f>G942</f>
        <v>0</v>
      </c>
      <c r="H941" s="118"/>
      <c r="I941" s="86">
        <f>I942</f>
        <v>179004</v>
      </c>
      <c r="J941" s="118"/>
      <c r="K941" s="86">
        <f>K942</f>
        <v>179004</v>
      </c>
      <c r="L941" s="141"/>
      <c r="M941" s="86">
        <f>M942</f>
        <v>154004</v>
      </c>
      <c r="N941" s="141"/>
      <c r="O941" s="86">
        <f>O942</f>
        <v>154004</v>
      </c>
      <c r="P941" s="141"/>
      <c r="Q941" s="86">
        <f>Q942</f>
        <v>154004</v>
      </c>
    </row>
    <row r="942" spans="2:17" ht="30.75" customHeight="1">
      <c r="B942" s="31" t="s">
        <v>382</v>
      </c>
      <c r="C942" s="8" t="s">
        <v>231</v>
      </c>
      <c r="D942" s="8" t="s">
        <v>133</v>
      </c>
      <c r="E942" s="8" t="s">
        <v>431</v>
      </c>
      <c r="F942" s="8" t="s">
        <v>328</v>
      </c>
      <c r="G942" s="86">
        <v>0</v>
      </c>
      <c r="H942" s="118">
        <v>179004</v>
      </c>
      <c r="I942" s="86">
        <f>G942+H942</f>
        <v>179004</v>
      </c>
      <c r="J942" s="118">
        <v>0</v>
      </c>
      <c r="K942" s="86">
        <f>I942+J942</f>
        <v>179004</v>
      </c>
      <c r="L942" s="141">
        <v>-25000</v>
      </c>
      <c r="M942" s="86">
        <f>K942+L942</f>
        <v>154004</v>
      </c>
      <c r="N942" s="141">
        <v>0</v>
      </c>
      <c r="O942" s="86">
        <f>M942+N942</f>
        <v>154004</v>
      </c>
      <c r="P942" s="141"/>
      <c r="Q942" s="86">
        <f>O942+P942</f>
        <v>154004</v>
      </c>
    </row>
    <row r="943" spans="2:17" ht="30.75" customHeight="1">
      <c r="B943" s="12" t="s">
        <v>79</v>
      </c>
      <c r="C943" s="6"/>
      <c r="D943" s="44" t="s">
        <v>133</v>
      </c>
      <c r="E943" s="6" t="s">
        <v>256</v>
      </c>
      <c r="F943" s="6"/>
      <c r="G943" s="60">
        <f>G944</f>
        <v>0</v>
      </c>
      <c r="H943" s="118"/>
      <c r="I943" s="60">
        <f>I944</f>
        <v>12302600</v>
      </c>
      <c r="J943" s="118"/>
      <c r="K943" s="60">
        <f>K944</f>
        <v>12302600</v>
      </c>
      <c r="L943" s="141"/>
      <c r="M943" s="60">
        <f>M944</f>
        <v>11177399</v>
      </c>
      <c r="N943" s="141"/>
      <c r="O943" s="60">
        <f>O944</f>
        <v>11177399</v>
      </c>
      <c r="P943" s="141"/>
      <c r="Q943" s="60">
        <f>Q944</f>
        <v>11177399</v>
      </c>
    </row>
    <row r="944" spans="2:17" ht="30.75" customHeight="1">
      <c r="B944" s="31" t="s">
        <v>382</v>
      </c>
      <c r="C944" s="6"/>
      <c r="D944" s="44" t="s">
        <v>133</v>
      </c>
      <c r="E944" s="6" t="s">
        <v>256</v>
      </c>
      <c r="F944" s="6" t="s">
        <v>328</v>
      </c>
      <c r="G944" s="60">
        <v>0</v>
      </c>
      <c r="H944" s="118">
        <v>12302600</v>
      </c>
      <c r="I944" s="60">
        <f>G944+H944</f>
        <v>12302600</v>
      </c>
      <c r="J944" s="118">
        <v>0</v>
      </c>
      <c r="K944" s="60">
        <f>I944+J944</f>
        <v>12302600</v>
      </c>
      <c r="L944" s="141">
        <v>-1125201</v>
      </c>
      <c r="M944" s="60">
        <f>K944+L944</f>
        <v>11177399</v>
      </c>
      <c r="N944" s="141">
        <v>0</v>
      </c>
      <c r="O944" s="60">
        <f>M944+N944</f>
        <v>11177399</v>
      </c>
      <c r="P944" s="141"/>
      <c r="Q944" s="60">
        <f>O944+P944</f>
        <v>11177399</v>
      </c>
    </row>
    <row r="945" spans="2:17" ht="30.75" customHeight="1">
      <c r="B945" s="96" t="s">
        <v>79</v>
      </c>
      <c r="C945" s="6"/>
      <c r="D945" s="97" t="s">
        <v>133</v>
      </c>
      <c r="E945" s="97" t="s">
        <v>492</v>
      </c>
      <c r="F945" s="97"/>
      <c r="G945" s="60"/>
      <c r="H945" s="118"/>
      <c r="I945" s="60"/>
      <c r="J945" s="118"/>
      <c r="K945" s="60"/>
      <c r="L945" s="141"/>
      <c r="M945" s="60">
        <f>M946</f>
        <v>10082209</v>
      </c>
      <c r="N945" s="141"/>
      <c r="O945" s="60">
        <f>O946</f>
        <v>10082209</v>
      </c>
      <c r="P945" s="141"/>
      <c r="Q945" s="60">
        <f>Q946</f>
        <v>10082209</v>
      </c>
    </row>
    <row r="946" spans="2:17" ht="63">
      <c r="B946" s="96" t="s">
        <v>491</v>
      </c>
      <c r="C946" s="6"/>
      <c r="D946" s="97" t="s">
        <v>133</v>
      </c>
      <c r="E946" s="97" t="s">
        <v>492</v>
      </c>
      <c r="F946" s="97" t="s">
        <v>350</v>
      </c>
      <c r="G946" s="60"/>
      <c r="H946" s="118"/>
      <c r="I946" s="60"/>
      <c r="J946" s="118"/>
      <c r="K946" s="60"/>
      <c r="L946" s="141">
        <v>10082209</v>
      </c>
      <c r="M946" s="60">
        <f>K946+L946</f>
        <v>10082209</v>
      </c>
      <c r="N946" s="141">
        <v>0</v>
      </c>
      <c r="O946" s="60">
        <f>M946+N946</f>
        <v>10082209</v>
      </c>
      <c r="P946" s="141"/>
      <c r="Q946" s="60">
        <f>O946+P946</f>
        <v>10082209</v>
      </c>
    </row>
    <row r="947" spans="2:17" ht="30" customHeight="1">
      <c r="B947" s="12" t="s">
        <v>81</v>
      </c>
      <c r="C947" s="6"/>
      <c r="D947" s="44" t="s">
        <v>133</v>
      </c>
      <c r="E947" s="6" t="s">
        <v>82</v>
      </c>
      <c r="F947" s="6"/>
      <c r="G947" s="60" t="e">
        <f>#REF!+#REF!+#REF!+G954+#REF!+#REF!</f>
        <v>#REF!</v>
      </c>
      <c r="H947" s="118"/>
      <c r="I947" s="60">
        <f>I954</f>
        <v>0</v>
      </c>
      <c r="J947" s="118"/>
      <c r="K947" s="60">
        <f>K954</f>
        <v>0</v>
      </c>
      <c r="L947" s="141"/>
      <c r="M947" s="60">
        <f>M954</f>
        <v>177000</v>
      </c>
      <c r="N947" s="141"/>
      <c r="O947" s="60">
        <f>O954</f>
        <v>177000</v>
      </c>
      <c r="P947" s="141"/>
      <c r="Q947" s="60">
        <f>Q948+Q951+Q954</f>
        <v>1872472</v>
      </c>
    </row>
    <row r="948" spans="2:17" s="188" customFormat="1" ht="63">
      <c r="B948" s="183" t="s">
        <v>586</v>
      </c>
      <c r="C948" s="184"/>
      <c r="D948" s="184" t="s">
        <v>133</v>
      </c>
      <c r="E948" s="184" t="s">
        <v>584</v>
      </c>
      <c r="F948" s="184"/>
      <c r="G948" s="185"/>
      <c r="H948" s="191"/>
      <c r="I948" s="185"/>
      <c r="J948" s="191"/>
      <c r="K948" s="185"/>
      <c r="L948" s="192"/>
      <c r="M948" s="185"/>
      <c r="N948" s="192"/>
      <c r="O948" s="185"/>
      <c r="P948" s="192"/>
      <c r="Q948" s="185">
        <f>Q949+Q950</f>
        <v>1180000</v>
      </c>
    </row>
    <row r="949" spans="2:17" s="188" customFormat="1" ht="15.75">
      <c r="B949" s="193" t="s">
        <v>320</v>
      </c>
      <c r="C949" s="184"/>
      <c r="D949" s="184" t="s">
        <v>133</v>
      </c>
      <c r="E949" s="184" t="s">
        <v>584</v>
      </c>
      <c r="F949" s="184" t="s">
        <v>325</v>
      </c>
      <c r="G949" s="185"/>
      <c r="H949" s="191"/>
      <c r="I949" s="185"/>
      <c r="J949" s="191"/>
      <c r="K949" s="185"/>
      <c r="L949" s="192"/>
      <c r="M949" s="185"/>
      <c r="N949" s="192"/>
      <c r="O949" s="185"/>
      <c r="P949" s="192">
        <f>1180000-133410</f>
        <v>1046590</v>
      </c>
      <c r="Q949" s="185">
        <f>O949+P949</f>
        <v>1046590</v>
      </c>
    </row>
    <row r="950" spans="2:17" s="188" customFormat="1" ht="31.5">
      <c r="B950" s="96" t="s">
        <v>351</v>
      </c>
      <c r="C950" s="184"/>
      <c r="D950" s="184" t="s">
        <v>133</v>
      </c>
      <c r="E950" s="184" t="s">
        <v>584</v>
      </c>
      <c r="F950" s="184" t="s">
        <v>352</v>
      </c>
      <c r="G950" s="185"/>
      <c r="H950" s="191"/>
      <c r="I950" s="185"/>
      <c r="J950" s="191"/>
      <c r="K950" s="185"/>
      <c r="L950" s="192"/>
      <c r="M950" s="185"/>
      <c r="N950" s="192"/>
      <c r="O950" s="185"/>
      <c r="P950" s="192">
        <v>133410</v>
      </c>
      <c r="Q950" s="185">
        <f>O950+P950</f>
        <v>133410</v>
      </c>
    </row>
    <row r="951" spans="2:17" s="188" customFormat="1" ht="78.75">
      <c r="B951" s="183" t="s">
        <v>587</v>
      </c>
      <c r="C951" s="184"/>
      <c r="D951" s="184" t="s">
        <v>133</v>
      </c>
      <c r="E951" s="184" t="s">
        <v>585</v>
      </c>
      <c r="F951" s="184"/>
      <c r="G951" s="185"/>
      <c r="H951" s="191"/>
      <c r="I951" s="185"/>
      <c r="J951" s="191"/>
      <c r="K951" s="185"/>
      <c r="L951" s="192"/>
      <c r="M951" s="185"/>
      <c r="N951" s="192"/>
      <c r="O951" s="185"/>
      <c r="P951" s="192"/>
      <c r="Q951" s="185">
        <f>Q952+Q953</f>
        <v>515472</v>
      </c>
    </row>
    <row r="952" spans="2:17" s="188" customFormat="1" ht="15.75">
      <c r="B952" s="193" t="s">
        <v>320</v>
      </c>
      <c r="C952" s="184"/>
      <c r="D952" s="184" t="s">
        <v>133</v>
      </c>
      <c r="E952" s="184" t="s">
        <v>585</v>
      </c>
      <c r="F952" s="184" t="s">
        <v>325</v>
      </c>
      <c r="G952" s="185"/>
      <c r="H952" s="191"/>
      <c r="I952" s="185"/>
      <c r="J952" s="191"/>
      <c r="K952" s="185"/>
      <c r="L952" s="192"/>
      <c r="M952" s="185"/>
      <c r="N952" s="192"/>
      <c r="O952" s="185"/>
      <c r="P952" s="192">
        <f>515472-32494</f>
        <v>482978</v>
      </c>
      <c r="Q952" s="185">
        <f>O952+P952</f>
        <v>482978</v>
      </c>
    </row>
    <row r="953" spans="2:17" s="188" customFormat="1" ht="31.5">
      <c r="B953" s="96" t="s">
        <v>351</v>
      </c>
      <c r="C953" s="184"/>
      <c r="D953" s="184" t="s">
        <v>133</v>
      </c>
      <c r="E953" s="184" t="s">
        <v>585</v>
      </c>
      <c r="F953" s="184" t="s">
        <v>352</v>
      </c>
      <c r="G953" s="185"/>
      <c r="H953" s="191"/>
      <c r="I953" s="185"/>
      <c r="J953" s="191"/>
      <c r="K953" s="185"/>
      <c r="L953" s="192"/>
      <c r="M953" s="185"/>
      <c r="N953" s="192"/>
      <c r="O953" s="185"/>
      <c r="P953" s="192">
        <v>32494</v>
      </c>
      <c r="Q953" s="185">
        <f>O953+P953</f>
        <v>32494</v>
      </c>
    </row>
    <row r="954" spans="2:17" s="188" customFormat="1" ht="78.75">
      <c r="B954" s="183" t="s">
        <v>225</v>
      </c>
      <c r="C954" s="184"/>
      <c r="D954" s="197" t="s">
        <v>133</v>
      </c>
      <c r="E954" s="197" t="s">
        <v>330</v>
      </c>
      <c r="F954" s="197"/>
      <c r="G954" s="185">
        <f>G956+G955</f>
        <v>0</v>
      </c>
      <c r="H954" s="198"/>
      <c r="I954" s="185">
        <f>I956+I955</f>
        <v>0</v>
      </c>
      <c r="J954" s="198"/>
      <c r="K954" s="185">
        <f>K956+K955</f>
        <v>0</v>
      </c>
      <c r="L954" s="196"/>
      <c r="M954" s="185">
        <f>M956+M955</f>
        <v>177000</v>
      </c>
      <c r="N954" s="196"/>
      <c r="O954" s="185">
        <f>O956+O955</f>
        <v>177000</v>
      </c>
      <c r="P954" s="196"/>
      <c r="Q954" s="185">
        <f>Q956+Q955</f>
        <v>177000</v>
      </c>
    </row>
    <row r="955" spans="2:17" ht="15.75">
      <c r="B955" s="31" t="s">
        <v>320</v>
      </c>
      <c r="C955" s="6"/>
      <c r="D955" s="8" t="s">
        <v>133</v>
      </c>
      <c r="E955" s="8" t="s">
        <v>330</v>
      </c>
      <c r="F955" s="8" t="s">
        <v>325</v>
      </c>
      <c r="G955" s="86">
        <v>0</v>
      </c>
      <c r="H955" s="118"/>
      <c r="I955" s="86">
        <f>G955+H955</f>
        <v>0</v>
      </c>
      <c r="J955" s="118"/>
      <c r="K955" s="86">
        <f>I955+J955</f>
        <v>0</v>
      </c>
      <c r="L955" s="141">
        <v>102773</v>
      </c>
      <c r="M955" s="86">
        <f>K955+L955</f>
        <v>102773</v>
      </c>
      <c r="N955" s="141">
        <v>0</v>
      </c>
      <c r="O955" s="86">
        <f>M955+N955</f>
        <v>102773</v>
      </c>
      <c r="P955" s="141"/>
      <c r="Q955" s="86">
        <f>O955+P955</f>
        <v>102773</v>
      </c>
    </row>
    <row r="956" spans="2:17" ht="31.5">
      <c r="B956" s="31" t="s">
        <v>382</v>
      </c>
      <c r="C956" s="6"/>
      <c r="D956" s="8" t="s">
        <v>133</v>
      </c>
      <c r="E956" s="8" t="s">
        <v>330</v>
      </c>
      <c r="F956" s="8" t="s">
        <v>328</v>
      </c>
      <c r="G956" s="86">
        <v>0</v>
      </c>
      <c r="H956" s="118"/>
      <c r="I956" s="86">
        <f>G956+H956</f>
        <v>0</v>
      </c>
      <c r="J956" s="118"/>
      <c r="K956" s="86">
        <f>I956+J956</f>
        <v>0</v>
      </c>
      <c r="L956" s="141">
        <v>74227</v>
      </c>
      <c r="M956" s="86">
        <f>K956+L956</f>
        <v>74227</v>
      </c>
      <c r="N956" s="141">
        <v>0</v>
      </c>
      <c r="O956" s="86">
        <f>M956+N956</f>
        <v>74227</v>
      </c>
      <c r="P956" s="141"/>
      <c r="Q956" s="86">
        <f>O956+P956</f>
        <v>74227</v>
      </c>
    </row>
    <row r="957" spans="2:17" ht="47.25">
      <c r="B957" s="130" t="s">
        <v>568</v>
      </c>
      <c r="C957" s="6"/>
      <c r="D957" s="97" t="s">
        <v>133</v>
      </c>
      <c r="E957" s="97" t="s">
        <v>493</v>
      </c>
      <c r="F957" s="97"/>
      <c r="G957" s="79"/>
      <c r="H957" s="97"/>
      <c r="I957" s="79"/>
      <c r="J957" s="97"/>
      <c r="K957" s="79"/>
      <c r="L957" s="153"/>
      <c r="M957" s="79">
        <f>M958+M959</f>
        <v>455000</v>
      </c>
      <c r="N957" s="153"/>
      <c r="O957" s="79">
        <f>O958+O959</f>
        <v>455000</v>
      </c>
      <c r="P957" s="153"/>
      <c r="Q957" s="79">
        <f>Q958+Q959</f>
        <v>455000</v>
      </c>
    </row>
    <row r="958" spans="2:17" ht="31.5">
      <c r="B958" s="96" t="s">
        <v>382</v>
      </c>
      <c r="C958" s="6"/>
      <c r="D958" s="97" t="s">
        <v>133</v>
      </c>
      <c r="E958" s="97" t="s">
        <v>493</v>
      </c>
      <c r="F958" s="97" t="s">
        <v>328</v>
      </c>
      <c r="G958" s="79"/>
      <c r="H958" s="97"/>
      <c r="I958" s="79"/>
      <c r="J958" s="97"/>
      <c r="K958" s="79"/>
      <c r="L958" s="153">
        <v>363716</v>
      </c>
      <c r="M958" s="79">
        <f>K958+L958</f>
        <v>363716</v>
      </c>
      <c r="N958" s="153">
        <v>0</v>
      </c>
      <c r="O958" s="79">
        <f>M958+N958</f>
        <v>363716</v>
      </c>
      <c r="P958" s="153"/>
      <c r="Q958" s="79">
        <f>O958+P958</f>
        <v>363716</v>
      </c>
    </row>
    <row r="959" spans="2:17" ht="31.5">
      <c r="B959" s="96" t="s">
        <v>351</v>
      </c>
      <c r="C959" s="6"/>
      <c r="D959" s="97" t="s">
        <v>133</v>
      </c>
      <c r="E959" s="97" t="s">
        <v>493</v>
      </c>
      <c r="F959" s="97" t="s">
        <v>352</v>
      </c>
      <c r="G959" s="79"/>
      <c r="H959" s="97"/>
      <c r="I959" s="79"/>
      <c r="J959" s="97"/>
      <c r="K959" s="79"/>
      <c r="L959" s="153">
        <v>91284</v>
      </c>
      <c r="M959" s="79">
        <f>K959+L959</f>
        <v>91284</v>
      </c>
      <c r="N959" s="153">
        <v>0</v>
      </c>
      <c r="O959" s="79">
        <f>M959+N959</f>
        <v>91284</v>
      </c>
      <c r="P959" s="153"/>
      <c r="Q959" s="79">
        <f>O959+P959</f>
        <v>91284</v>
      </c>
    </row>
    <row r="960" spans="2:17" ht="36.75" customHeight="1">
      <c r="B960" s="96" t="s">
        <v>557</v>
      </c>
      <c r="C960" s="6"/>
      <c r="D960" s="97" t="s">
        <v>133</v>
      </c>
      <c r="E960" s="97" t="s">
        <v>556</v>
      </c>
      <c r="F960" s="97"/>
      <c r="G960" s="79"/>
      <c r="H960" s="97"/>
      <c r="I960" s="79"/>
      <c r="J960" s="97"/>
      <c r="K960" s="79"/>
      <c r="L960" s="153"/>
      <c r="M960" s="79"/>
      <c r="N960" s="153"/>
      <c r="O960" s="79"/>
      <c r="P960" s="153"/>
      <c r="Q960" s="79">
        <f>Q961+Q962</f>
        <v>51300000</v>
      </c>
    </row>
    <row r="961" spans="2:17" ht="36.75" customHeight="1">
      <c r="B961" s="96" t="s">
        <v>384</v>
      </c>
      <c r="C961" s="6"/>
      <c r="D961" s="97" t="s">
        <v>133</v>
      </c>
      <c r="E961" s="97" t="s">
        <v>556</v>
      </c>
      <c r="F961" s="97" t="s">
        <v>383</v>
      </c>
      <c r="G961" s="79"/>
      <c r="H961" s="97"/>
      <c r="I961" s="79"/>
      <c r="J961" s="97"/>
      <c r="K961" s="79"/>
      <c r="L961" s="153"/>
      <c r="M961" s="79"/>
      <c r="N961" s="153"/>
      <c r="O961" s="79"/>
      <c r="P961" s="153">
        <v>31550000</v>
      </c>
      <c r="Q961" s="79">
        <f>O961+P961</f>
        <v>31550000</v>
      </c>
    </row>
    <row r="962" spans="2:17" ht="36.75" customHeight="1">
      <c r="B962" s="96" t="s">
        <v>550</v>
      </c>
      <c r="C962" s="6"/>
      <c r="D962" s="97" t="s">
        <v>133</v>
      </c>
      <c r="E962" s="97" t="s">
        <v>556</v>
      </c>
      <c r="F962" s="97" t="s">
        <v>544</v>
      </c>
      <c r="G962" s="79"/>
      <c r="H962" s="97"/>
      <c r="I962" s="79"/>
      <c r="J962" s="97"/>
      <c r="K962" s="79"/>
      <c r="L962" s="153"/>
      <c r="M962" s="79"/>
      <c r="N962" s="153"/>
      <c r="O962" s="79"/>
      <c r="P962" s="153">
        <v>19750000</v>
      </c>
      <c r="Q962" s="79">
        <f>O962+P962</f>
        <v>19750000</v>
      </c>
    </row>
    <row r="963" spans="2:17" ht="15.75">
      <c r="B963" s="12" t="s">
        <v>76</v>
      </c>
      <c r="C963" s="6"/>
      <c r="D963" s="44" t="s">
        <v>77</v>
      </c>
      <c r="E963" s="6"/>
      <c r="F963" s="6"/>
      <c r="G963" s="60" t="e">
        <f>G966+G977+G992+#REF!+#REF!+#REF!+G973+#REF!+#REF!</f>
        <v>#REF!</v>
      </c>
      <c r="H963" s="118"/>
      <c r="I963" s="60">
        <f>I966+I977+I992+I973</f>
        <v>88162569</v>
      </c>
      <c r="J963" s="118"/>
      <c r="K963" s="60">
        <f>K966+K977+K992+K973</f>
        <v>71866585</v>
      </c>
      <c r="L963" s="141"/>
      <c r="M963" s="60">
        <f>M966+M977+M992+M973+M1007+M1010</f>
        <v>78031185</v>
      </c>
      <c r="N963" s="141"/>
      <c r="O963" s="60">
        <f>O966+O977+O992+O973+O1007+O1010+O987+O975</f>
        <v>88954117.61</v>
      </c>
      <c r="P963" s="141"/>
      <c r="Q963" s="60">
        <f>Q964+Q966+Q977+Q992+Q973+Q1007+Q1010+Q987+Q975</f>
        <v>96650171.84</v>
      </c>
    </row>
    <row r="964" spans="2:17" s="188" customFormat="1" ht="47.25">
      <c r="B964" s="183" t="s">
        <v>582</v>
      </c>
      <c r="C964" s="184"/>
      <c r="D964" s="184" t="s">
        <v>77</v>
      </c>
      <c r="E964" s="184" t="s">
        <v>583</v>
      </c>
      <c r="F964" s="184"/>
      <c r="G964" s="185"/>
      <c r="H964" s="198"/>
      <c r="I964" s="185"/>
      <c r="J964" s="198"/>
      <c r="K964" s="185"/>
      <c r="L964" s="196"/>
      <c r="M964" s="185"/>
      <c r="N964" s="196"/>
      <c r="O964" s="185"/>
      <c r="P964" s="196"/>
      <c r="Q964" s="185">
        <f>Q965</f>
        <v>738000</v>
      </c>
    </row>
    <row r="965" spans="2:17" s="188" customFormat="1" ht="47.25">
      <c r="B965" s="31" t="s">
        <v>376</v>
      </c>
      <c r="C965" s="184"/>
      <c r="D965" s="184" t="s">
        <v>77</v>
      </c>
      <c r="E965" s="184" t="s">
        <v>583</v>
      </c>
      <c r="F965" s="184" t="s">
        <v>331</v>
      </c>
      <c r="G965" s="185"/>
      <c r="H965" s="198"/>
      <c r="I965" s="185"/>
      <c r="J965" s="198"/>
      <c r="K965" s="185"/>
      <c r="L965" s="196"/>
      <c r="M965" s="185"/>
      <c r="N965" s="196"/>
      <c r="O965" s="185"/>
      <c r="P965" s="196">
        <v>738000</v>
      </c>
      <c r="Q965" s="185">
        <f>O965+P965</f>
        <v>738000</v>
      </c>
    </row>
    <row r="966" spans="2:17" ht="33" customHeight="1">
      <c r="B966" s="12" t="s">
        <v>78</v>
      </c>
      <c r="C966" s="6"/>
      <c r="D966" s="44" t="s">
        <v>77</v>
      </c>
      <c r="E966" s="6">
        <v>4210000</v>
      </c>
      <c r="F966" s="6"/>
      <c r="G966" s="60">
        <f>G967+G968+G969+G971+G972+G970</f>
        <v>0</v>
      </c>
      <c r="H966" s="118"/>
      <c r="I966" s="60">
        <f>I967+I968+I969+I971+I972+I970</f>
        <v>52306838</v>
      </c>
      <c r="J966" s="118"/>
      <c r="K966" s="60">
        <f>K967+K968+K969+K971+K972+K970</f>
        <v>34736648</v>
      </c>
      <c r="L966" s="141"/>
      <c r="M966" s="60">
        <f>M967+M968+M969+M971+M972+M970</f>
        <v>34593648</v>
      </c>
      <c r="N966" s="141"/>
      <c r="O966" s="60">
        <f>O967+O968+O969+O971+O972+O970</f>
        <v>34516916.61</v>
      </c>
      <c r="P966" s="141"/>
      <c r="Q966" s="60">
        <f>Q967+Q968+Q969+Q971+Q972+Q970</f>
        <v>34523442.84</v>
      </c>
    </row>
    <row r="967" spans="2:17" ht="15.75">
      <c r="B967" s="31" t="s">
        <v>320</v>
      </c>
      <c r="C967" s="6"/>
      <c r="D967" s="8" t="s">
        <v>77</v>
      </c>
      <c r="E967" s="8" t="s">
        <v>333</v>
      </c>
      <c r="F967" s="8" t="s">
        <v>325</v>
      </c>
      <c r="G967" s="86">
        <v>0</v>
      </c>
      <c r="H967" s="120">
        <v>1474467</v>
      </c>
      <c r="I967" s="86">
        <f aca="true" t="shared" si="45" ref="I967:K972">G967+H967</f>
        <v>1474467</v>
      </c>
      <c r="J967" s="120">
        <v>0</v>
      </c>
      <c r="K967" s="86">
        <f t="shared" si="45"/>
        <v>1474467</v>
      </c>
      <c r="L967" s="145"/>
      <c r="M967" s="86">
        <f aca="true" t="shared" si="46" ref="M967:O972">K967+L967</f>
        <v>1474467</v>
      </c>
      <c r="N967" s="145">
        <v>-14379</v>
      </c>
      <c r="O967" s="86">
        <f t="shared" si="46"/>
        <v>1460088</v>
      </c>
      <c r="P967" s="145"/>
      <c r="Q967" s="86">
        <f aca="true" t="shared" si="47" ref="Q967:Q972">O967+P967</f>
        <v>1460088</v>
      </c>
    </row>
    <row r="968" spans="2:17" ht="31.5">
      <c r="B968" s="31" t="s">
        <v>321</v>
      </c>
      <c r="C968" s="6"/>
      <c r="D968" s="8" t="s">
        <v>77</v>
      </c>
      <c r="E968" s="8" t="s">
        <v>333</v>
      </c>
      <c r="F968" s="8" t="s">
        <v>326</v>
      </c>
      <c r="G968" s="86">
        <v>0</v>
      </c>
      <c r="H968" s="120">
        <v>49150</v>
      </c>
      <c r="I968" s="86">
        <f t="shared" si="45"/>
        <v>49150</v>
      </c>
      <c r="J968" s="120">
        <v>0</v>
      </c>
      <c r="K968" s="86">
        <f t="shared" si="45"/>
        <v>49150</v>
      </c>
      <c r="L968" s="145">
        <v>-5000</v>
      </c>
      <c r="M968" s="86">
        <f t="shared" si="46"/>
        <v>44150</v>
      </c>
      <c r="N968" s="145">
        <f>-10242.5-1500</f>
        <v>-11742.5</v>
      </c>
      <c r="O968" s="86">
        <f t="shared" si="46"/>
        <v>32407.5</v>
      </c>
      <c r="P968" s="145"/>
      <c r="Q968" s="86">
        <f t="shared" si="47"/>
        <v>32407.5</v>
      </c>
    </row>
    <row r="969" spans="2:17" ht="47.25">
      <c r="B969" s="31" t="s">
        <v>322</v>
      </c>
      <c r="C969" s="6"/>
      <c r="D969" s="8" t="s">
        <v>77</v>
      </c>
      <c r="E969" s="8" t="s">
        <v>333</v>
      </c>
      <c r="F969" s="8" t="s">
        <v>327</v>
      </c>
      <c r="G969" s="86">
        <v>0</v>
      </c>
      <c r="H969" s="120">
        <v>1284127</v>
      </c>
      <c r="I969" s="86">
        <f t="shared" si="45"/>
        <v>1284127</v>
      </c>
      <c r="J969" s="120">
        <v>0</v>
      </c>
      <c r="K969" s="86">
        <f t="shared" si="45"/>
        <v>1284127</v>
      </c>
      <c r="L969" s="145">
        <v>-91000</v>
      </c>
      <c r="M969" s="86">
        <f t="shared" si="46"/>
        <v>1193127</v>
      </c>
      <c r="N969" s="145">
        <f>-31347.5-42795.53</f>
        <v>-74143.03</v>
      </c>
      <c r="O969" s="86">
        <f t="shared" si="46"/>
        <v>1118983.97</v>
      </c>
      <c r="P969" s="145">
        <v>-39400</v>
      </c>
      <c r="Q969" s="86">
        <f t="shared" si="47"/>
        <v>1079583.97</v>
      </c>
    </row>
    <row r="970" spans="2:17" ht="47.25">
      <c r="B970" s="31" t="s">
        <v>376</v>
      </c>
      <c r="C970" s="6"/>
      <c r="D970" s="44" t="s">
        <v>77</v>
      </c>
      <c r="E970" s="44" t="s">
        <v>333</v>
      </c>
      <c r="F970" s="6" t="s">
        <v>331</v>
      </c>
      <c r="G970" s="86">
        <v>0</v>
      </c>
      <c r="H970" s="120">
        <v>252876</v>
      </c>
      <c r="I970" s="86">
        <f t="shared" si="45"/>
        <v>252876</v>
      </c>
      <c r="J970" s="120">
        <v>0</v>
      </c>
      <c r="K970" s="86">
        <f t="shared" si="45"/>
        <v>252876</v>
      </c>
      <c r="L970" s="145"/>
      <c r="M970" s="86">
        <f t="shared" si="46"/>
        <v>252876</v>
      </c>
      <c r="N970" s="145"/>
      <c r="O970" s="86">
        <f t="shared" si="46"/>
        <v>252876</v>
      </c>
      <c r="P970" s="145"/>
      <c r="Q970" s="86">
        <f t="shared" si="47"/>
        <v>252876</v>
      </c>
    </row>
    <row r="971" spans="2:17" ht="31.5">
      <c r="B971" s="31" t="s">
        <v>382</v>
      </c>
      <c r="C971" s="6"/>
      <c r="D971" s="8" t="s">
        <v>77</v>
      </c>
      <c r="E971" s="8" t="s">
        <v>333</v>
      </c>
      <c r="F971" s="8" t="s">
        <v>328</v>
      </c>
      <c r="G971" s="86">
        <v>0</v>
      </c>
      <c r="H971" s="120">
        <v>48946218</v>
      </c>
      <c r="I971" s="86">
        <f t="shared" si="45"/>
        <v>48946218</v>
      </c>
      <c r="J971" s="120">
        <v>-17270190</v>
      </c>
      <c r="K971" s="86">
        <f t="shared" si="45"/>
        <v>31676028</v>
      </c>
      <c r="L971" s="145">
        <v>-47000</v>
      </c>
      <c r="M971" s="86">
        <f t="shared" si="46"/>
        <v>31629028</v>
      </c>
      <c r="N971" s="145">
        <v>21567.78</v>
      </c>
      <c r="O971" s="86">
        <f t="shared" si="46"/>
        <v>31650595.78</v>
      </c>
      <c r="P971" s="145">
        <f>43726.23-600</f>
        <v>43126.23</v>
      </c>
      <c r="Q971" s="86">
        <f t="shared" si="47"/>
        <v>31693722.01</v>
      </c>
    </row>
    <row r="972" spans="2:17" ht="31.5">
      <c r="B972" s="31" t="s">
        <v>324</v>
      </c>
      <c r="C972" s="6"/>
      <c r="D972" s="8" t="s">
        <v>77</v>
      </c>
      <c r="E972" s="8" t="s">
        <v>333</v>
      </c>
      <c r="F972" s="8" t="s">
        <v>329</v>
      </c>
      <c r="G972" s="86">
        <v>0</v>
      </c>
      <c r="H972" s="120">
        <v>300000</v>
      </c>
      <c r="I972" s="86">
        <f t="shared" si="45"/>
        <v>300000</v>
      </c>
      <c r="J972" s="120">
        <v>-300000</v>
      </c>
      <c r="K972" s="86">
        <f t="shared" si="45"/>
        <v>0</v>
      </c>
      <c r="L972" s="145"/>
      <c r="M972" s="86">
        <f t="shared" si="46"/>
        <v>0</v>
      </c>
      <c r="N972" s="145">
        <v>1965.36</v>
      </c>
      <c r="O972" s="86">
        <f t="shared" si="46"/>
        <v>1965.36</v>
      </c>
      <c r="P972" s="145">
        <f>2200+600</f>
        <v>2800</v>
      </c>
      <c r="Q972" s="86">
        <f t="shared" si="47"/>
        <v>4765.36</v>
      </c>
    </row>
    <row r="973" spans="2:17" ht="33" customHeight="1">
      <c r="B973" s="31" t="s">
        <v>432</v>
      </c>
      <c r="C973" s="8" t="s">
        <v>231</v>
      </c>
      <c r="D973" s="8" t="s">
        <v>77</v>
      </c>
      <c r="E973" s="8" t="s">
        <v>433</v>
      </c>
      <c r="F973" s="8"/>
      <c r="G973" s="60">
        <f>G974</f>
        <v>0</v>
      </c>
      <c r="H973" s="120"/>
      <c r="I973" s="60">
        <f>I974</f>
        <v>2188296</v>
      </c>
      <c r="J973" s="120">
        <v>0</v>
      </c>
      <c r="K973" s="60">
        <f>K974</f>
        <v>2188296</v>
      </c>
      <c r="L973" s="145"/>
      <c r="M973" s="60">
        <f>M974</f>
        <v>2188296</v>
      </c>
      <c r="N973" s="145"/>
      <c r="O973" s="60">
        <f>O974</f>
        <v>2168296</v>
      </c>
      <c r="P973" s="145"/>
      <c r="Q973" s="60">
        <f>Q974</f>
        <v>2168296</v>
      </c>
    </row>
    <row r="974" spans="2:17" ht="31.5" customHeight="1">
      <c r="B974" s="31" t="s">
        <v>382</v>
      </c>
      <c r="C974" s="8" t="s">
        <v>231</v>
      </c>
      <c r="D974" s="8" t="s">
        <v>77</v>
      </c>
      <c r="E974" s="8" t="s">
        <v>433</v>
      </c>
      <c r="F974" s="8" t="s">
        <v>328</v>
      </c>
      <c r="G974" s="60">
        <v>0</v>
      </c>
      <c r="H974" s="120">
        <v>2188296</v>
      </c>
      <c r="I974" s="60">
        <f>G974+H974</f>
        <v>2188296</v>
      </c>
      <c r="J974" s="120">
        <v>0</v>
      </c>
      <c r="K974" s="60">
        <f>I974+J974</f>
        <v>2188296</v>
      </c>
      <c r="L974" s="145"/>
      <c r="M974" s="60">
        <f>K974+L974</f>
        <v>2188296</v>
      </c>
      <c r="N974" s="145">
        <v>-20000</v>
      </c>
      <c r="O974" s="60">
        <f>M974+N974</f>
        <v>2168296</v>
      </c>
      <c r="P974" s="145"/>
      <c r="Q974" s="60">
        <f>O974+P974</f>
        <v>2168296</v>
      </c>
    </row>
    <row r="975" spans="2:17" ht="31.5" customHeight="1">
      <c r="B975" s="96" t="s">
        <v>79</v>
      </c>
      <c r="C975" s="8"/>
      <c r="D975" s="97" t="s">
        <v>77</v>
      </c>
      <c r="E975" s="97" t="s">
        <v>542</v>
      </c>
      <c r="F975" s="8"/>
      <c r="G975" s="60"/>
      <c r="H975" s="120"/>
      <c r="I975" s="60"/>
      <c r="J975" s="120"/>
      <c r="K975" s="60"/>
      <c r="L975" s="145"/>
      <c r="M975" s="60"/>
      <c r="N975" s="145"/>
      <c r="O975" s="60">
        <f>O976</f>
        <v>604058</v>
      </c>
      <c r="P975" s="145"/>
      <c r="Q975" s="60">
        <f>Q976</f>
        <v>604058</v>
      </c>
    </row>
    <row r="976" spans="2:17" ht="63">
      <c r="B976" s="96" t="s">
        <v>546</v>
      </c>
      <c r="C976" s="8"/>
      <c r="D976" s="97" t="s">
        <v>77</v>
      </c>
      <c r="E976" s="97" t="s">
        <v>542</v>
      </c>
      <c r="F976" s="97" t="s">
        <v>545</v>
      </c>
      <c r="G976" s="60"/>
      <c r="H976" s="120"/>
      <c r="I976" s="60"/>
      <c r="J976" s="120"/>
      <c r="K976" s="60"/>
      <c r="L976" s="145"/>
      <c r="M976" s="60"/>
      <c r="N976" s="145">
        <v>604058</v>
      </c>
      <c r="O976" s="60">
        <f>N976+M976</f>
        <v>604058</v>
      </c>
      <c r="P976" s="145"/>
      <c r="Q976" s="60">
        <f>P976+O976</f>
        <v>604058</v>
      </c>
    </row>
    <row r="977" spans="2:17" ht="15.75">
      <c r="B977" s="12" t="s">
        <v>80</v>
      </c>
      <c r="C977" s="6"/>
      <c r="D977" s="44" t="s">
        <v>77</v>
      </c>
      <c r="E977" s="6">
        <v>4230000</v>
      </c>
      <c r="F977" s="6"/>
      <c r="G977" s="60">
        <f>G978+G979+G980+G981+G983+G982+G984</f>
        <v>0</v>
      </c>
      <c r="H977" s="118"/>
      <c r="I977" s="60">
        <f>I978+I979+I980+I981+I983+I982+I984</f>
        <v>21865435</v>
      </c>
      <c r="J977" s="118"/>
      <c r="K977" s="60">
        <f>K978+K979+K980+K981+K983+K982+K984</f>
        <v>23139641</v>
      </c>
      <c r="L977" s="141"/>
      <c r="M977" s="60">
        <f>M978+M979+M980+M981+M983+M982+M984</f>
        <v>23113241</v>
      </c>
      <c r="N977" s="141"/>
      <c r="O977" s="60">
        <f>O978+O979+O980+O981+O983+O982+O984</f>
        <v>22969647</v>
      </c>
      <c r="P977" s="141"/>
      <c r="Q977" s="60">
        <f>Q978+Q979+Q980+Q981+Q983+Q982+Q984</f>
        <v>22969647</v>
      </c>
    </row>
    <row r="978" spans="2:17" ht="18.75" customHeight="1">
      <c r="B978" s="31" t="s">
        <v>320</v>
      </c>
      <c r="C978" s="6"/>
      <c r="D978" s="8" t="s">
        <v>77</v>
      </c>
      <c r="E978" s="8" t="s">
        <v>122</v>
      </c>
      <c r="F978" s="8" t="s">
        <v>325</v>
      </c>
      <c r="G978" s="86">
        <v>0</v>
      </c>
      <c r="H978" s="118">
        <f>14730288+4937942</f>
        <v>19668230</v>
      </c>
      <c r="I978" s="86">
        <f aca="true" t="shared" si="48" ref="I978:K983">G978+H978</f>
        <v>19668230</v>
      </c>
      <c r="J978" s="128">
        <v>1734000</v>
      </c>
      <c r="K978" s="86">
        <f t="shared" si="48"/>
        <v>21402230</v>
      </c>
      <c r="L978" s="153"/>
      <c r="M978" s="86">
        <f>K978+L978</f>
        <v>21402230</v>
      </c>
      <c r="N978" s="153">
        <v>-89394</v>
      </c>
      <c r="O978" s="86">
        <f>M978+N978</f>
        <v>21312836</v>
      </c>
      <c r="P978" s="153"/>
      <c r="Q978" s="86">
        <f>O978+P978</f>
        <v>21312836</v>
      </c>
    </row>
    <row r="979" spans="2:17" ht="33" customHeight="1">
      <c r="B979" s="31" t="s">
        <v>321</v>
      </c>
      <c r="C979" s="6"/>
      <c r="D979" s="8" t="s">
        <v>77</v>
      </c>
      <c r="E979" s="8" t="s">
        <v>122</v>
      </c>
      <c r="F979" s="8" t="s">
        <v>326</v>
      </c>
      <c r="G979" s="86">
        <v>0</v>
      </c>
      <c r="H979" s="118">
        <f>45800+29332</f>
        <v>75132</v>
      </c>
      <c r="I979" s="86">
        <f t="shared" si="48"/>
        <v>75132</v>
      </c>
      <c r="J979" s="128">
        <v>0</v>
      </c>
      <c r="K979" s="86">
        <f t="shared" si="48"/>
        <v>75132</v>
      </c>
      <c r="L979" s="153"/>
      <c r="M979" s="86">
        <f>K979+L979</f>
        <v>75132</v>
      </c>
      <c r="N979" s="153"/>
      <c r="O979" s="86">
        <f>M979+N979</f>
        <v>75132</v>
      </c>
      <c r="P979" s="153"/>
      <c r="Q979" s="86">
        <f>O979+P979</f>
        <v>75132</v>
      </c>
    </row>
    <row r="980" spans="2:17" ht="47.25">
      <c r="B980" s="31" t="s">
        <v>322</v>
      </c>
      <c r="C980" s="6"/>
      <c r="D980" s="8" t="s">
        <v>77</v>
      </c>
      <c r="E980" s="8" t="s">
        <v>122</v>
      </c>
      <c r="F980" s="8" t="s">
        <v>327</v>
      </c>
      <c r="G980" s="86">
        <v>0</v>
      </c>
      <c r="H980" s="118">
        <f>126639+35369</f>
        <v>162008</v>
      </c>
      <c r="I980" s="86">
        <f t="shared" si="48"/>
        <v>162008</v>
      </c>
      <c r="J980" s="128">
        <v>0</v>
      </c>
      <c r="K980" s="86">
        <f t="shared" si="48"/>
        <v>162008</v>
      </c>
      <c r="L980" s="153"/>
      <c r="M980" s="86">
        <f>K980+L980</f>
        <v>162008</v>
      </c>
      <c r="N980" s="153"/>
      <c r="O980" s="86">
        <f>M980+N980</f>
        <v>162008</v>
      </c>
      <c r="P980" s="153"/>
      <c r="Q980" s="86">
        <f>O980+P980</f>
        <v>162008</v>
      </c>
    </row>
    <row r="981" spans="2:17" ht="30" customHeight="1">
      <c r="B981" s="31" t="s">
        <v>382</v>
      </c>
      <c r="C981" s="6"/>
      <c r="D981" s="8" t="s">
        <v>77</v>
      </c>
      <c r="E981" s="8" t="s">
        <v>122</v>
      </c>
      <c r="F981" s="8" t="s">
        <v>328</v>
      </c>
      <c r="G981" s="86">
        <v>0</v>
      </c>
      <c r="H981" s="118">
        <f>1326708+53357</f>
        <v>1380065</v>
      </c>
      <c r="I981" s="86">
        <f t="shared" si="48"/>
        <v>1380065</v>
      </c>
      <c r="J981" s="128">
        <v>-399794</v>
      </c>
      <c r="K981" s="86">
        <f t="shared" si="48"/>
        <v>980271</v>
      </c>
      <c r="L981" s="153">
        <v>-26400</v>
      </c>
      <c r="M981" s="86">
        <f>K981+L981</f>
        <v>953871</v>
      </c>
      <c r="N981" s="153">
        <v>-54200</v>
      </c>
      <c r="O981" s="86">
        <f>M981+N981</f>
        <v>899671</v>
      </c>
      <c r="P981" s="153"/>
      <c r="Q981" s="86">
        <f>O981+P981</f>
        <v>899671</v>
      </c>
    </row>
    <row r="982" spans="2:17" ht="21.75" customHeight="1" hidden="1">
      <c r="B982" s="31"/>
      <c r="C982" s="6"/>
      <c r="D982" s="8"/>
      <c r="E982" s="8"/>
      <c r="F982" s="8"/>
      <c r="G982" s="86"/>
      <c r="H982" s="118"/>
      <c r="I982" s="86"/>
      <c r="J982" s="128"/>
      <c r="K982" s="86"/>
      <c r="L982" s="153"/>
      <c r="M982" s="86"/>
      <c r="N982" s="153"/>
      <c r="O982" s="86"/>
      <c r="P982" s="153"/>
      <c r="Q982" s="86"/>
    </row>
    <row r="983" spans="2:17" ht="15" customHeight="1">
      <c r="B983" s="31" t="s">
        <v>334</v>
      </c>
      <c r="C983" s="6"/>
      <c r="D983" s="8" t="s">
        <v>77</v>
      </c>
      <c r="E983" s="8" t="s">
        <v>122</v>
      </c>
      <c r="F983" s="8" t="s">
        <v>335</v>
      </c>
      <c r="G983" s="86">
        <v>0</v>
      </c>
      <c r="H983" s="118">
        <v>180000</v>
      </c>
      <c r="I983" s="86">
        <f t="shared" si="48"/>
        <v>180000</v>
      </c>
      <c r="J983" s="118">
        <v>-60000</v>
      </c>
      <c r="K983" s="86">
        <f t="shared" si="48"/>
        <v>120000</v>
      </c>
      <c r="L983" s="141"/>
      <c r="M983" s="86">
        <f>K983+L983</f>
        <v>120000</v>
      </c>
      <c r="N983" s="141"/>
      <c r="O983" s="86">
        <f>M983+N983</f>
        <v>120000</v>
      </c>
      <c r="P983" s="141"/>
      <c r="Q983" s="86">
        <f>O983+P983</f>
        <v>120000</v>
      </c>
    </row>
    <row r="984" spans="2:17" ht="18.75" customHeight="1">
      <c r="B984" s="12" t="s">
        <v>80</v>
      </c>
      <c r="C984" s="6"/>
      <c r="D984" s="44" t="s">
        <v>77</v>
      </c>
      <c r="E984" s="44" t="s">
        <v>255</v>
      </c>
      <c r="F984" s="8"/>
      <c r="G984" s="86">
        <f>G985+G986</f>
        <v>0</v>
      </c>
      <c r="H984" s="118"/>
      <c r="I984" s="86">
        <f>I985+I986</f>
        <v>400000</v>
      </c>
      <c r="J984" s="118"/>
      <c r="K984" s="86">
        <f>K985+K986</f>
        <v>400000</v>
      </c>
      <c r="L984" s="141"/>
      <c r="M984" s="86">
        <f>M985+M986</f>
        <v>400000</v>
      </c>
      <c r="N984" s="141"/>
      <c r="O984" s="86">
        <f>O985+O986</f>
        <v>400000</v>
      </c>
      <c r="P984" s="141"/>
      <c r="Q984" s="86">
        <f>Q985+Q986</f>
        <v>400000</v>
      </c>
    </row>
    <row r="985" spans="2:17" ht="18.75" customHeight="1" hidden="1">
      <c r="B985" s="31" t="s">
        <v>320</v>
      </c>
      <c r="C985" s="44"/>
      <c r="D985" s="44" t="s">
        <v>77</v>
      </c>
      <c r="E985" s="44" t="s">
        <v>255</v>
      </c>
      <c r="F985" s="44" t="s">
        <v>325</v>
      </c>
      <c r="G985" s="60">
        <v>0</v>
      </c>
      <c r="H985" s="120"/>
      <c r="I985" s="60">
        <f>G985+H985</f>
        <v>0</v>
      </c>
      <c r="J985" s="120"/>
      <c r="K985" s="60">
        <f>I985+J985</f>
        <v>0</v>
      </c>
      <c r="L985" s="145"/>
      <c r="M985" s="60">
        <f>K985+L985</f>
        <v>0</v>
      </c>
      <c r="N985" s="145"/>
      <c r="O985" s="60">
        <f>M985+N985</f>
        <v>0</v>
      </c>
      <c r="P985" s="145"/>
      <c r="Q985" s="60">
        <f>O985+P985</f>
        <v>0</v>
      </c>
    </row>
    <row r="986" spans="2:17" ht="33" customHeight="1">
      <c r="B986" s="31" t="s">
        <v>382</v>
      </c>
      <c r="C986" s="44"/>
      <c r="D986" s="44" t="s">
        <v>77</v>
      </c>
      <c r="E986" s="44" t="s">
        <v>255</v>
      </c>
      <c r="F986" s="44" t="s">
        <v>328</v>
      </c>
      <c r="G986" s="60">
        <v>0</v>
      </c>
      <c r="H986" s="120">
        <v>400000</v>
      </c>
      <c r="I986" s="60">
        <f>G986+H986</f>
        <v>400000</v>
      </c>
      <c r="J986" s="120">
        <v>0</v>
      </c>
      <c r="K986" s="60">
        <f>I986+J986</f>
        <v>400000</v>
      </c>
      <c r="L986" s="145"/>
      <c r="M986" s="60">
        <f>K986+L986</f>
        <v>400000</v>
      </c>
      <c r="N986" s="145"/>
      <c r="O986" s="60">
        <f>M986+N986</f>
        <v>400000</v>
      </c>
      <c r="P986" s="145"/>
      <c r="Q986" s="60">
        <f>O986+P986</f>
        <v>400000</v>
      </c>
    </row>
    <row r="987" spans="2:17" s="168" customFormat="1" ht="33" customHeight="1">
      <c r="B987" s="163" t="s">
        <v>533</v>
      </c>
      <c r="C987" s="6"/>
      <c r="D987" s="97" t="s">
        <v>77</v>
      </c>
      <c r="E987" s="97" t="s">
        <v>534</v>
      </c>
      <c r="F987" s="97"/>
      <c r="G987" s="167"/>
      <c r="H987" s="169"/>
      <c r="I987" s="167"/>
      <c r="J987" s="169"/>
      <c r="K987" s="167"/>
      <c r="L987" s="170"/>
      <c r="M987" s="167"/>
      <c r="N987" s="170"/>
      <c r="O987" s="167">
        <f>O989+O990</f>
        <v>9563200</v>
      </c>
      <c r="P987" s="170"/>
      <c r="Q987" s="167">
        <f>Q989+Q990+Q988+Q991</f>
        <v>15358200</v>
      </c>
    </row>
    <row r="988" spans="2:17" s="168" customFormat="1" ht="47.25">
      <c r="B988" s="31" t="s">
        <v>322</v>
      </c>
      <c r="C988" s="6"/>
      <c r="D988" s="97" t="s">
        <v>77</v>
      </c>
      <c r="E988" s="97" t="s">
        <v>534</v>
      </c>
      <c r="F988" s="97" t="s">
        <v>327</v>
      </c>
      <c r="G988" s="167"/>
      <c r="H988" s="169"/>
      <c r="I988" s="167"/>
      <c r="J988" s="169"/>
      <c r="K988" s="167"/>
      <c r="L988" s="170"/>
      <c r="M988" s="167"/>
      <c r="N988" s="170"/>
      <c r="O988" s="167"/>
      <c r="P988" s="170">
        <v>4963000</v>
      </c>
      <c r="Q988" s="167">
        <f>O988+P988</f>
        <v>4963000</v>
      </c>
    </row>
    <row r="989" spans="2:17" s="168" customFormat="1" ht="47.25">
      <c r="B989" s="163" t="s">
        <v>376</v>
      </c>
      <c r="C989" s="6"/>
      <c r="D989" s="97" t="s">
        <v>77</v>
      </c>
      <c r="E989" s="97" t="s">
        <v>534</v>
      </c>
      <c r="F989" s="97" t="s">
        <v>331</v>
      </c>
      <c r="G989" s="167"/>
      <c r="H989" s="169"/>
      <c r="I989" s="167"/>
      <c r="J989" s="169"/>
      <c r="K989" s="167"/>
      <c r="L989" s="170"/>
      <c r="M989" s="167"/>
      <c r="N989" s="170">
        <v>4482400</v>
      </c>
      <c r="O989" s="167">
        <f>M989+N989</f>
        <v>4482400</v>
      </c>
      <c r="P989" s="170">
        <v>-1487176</v>
      </c>
      <c r="Q989" s="167">
        <f>O989+P989</f>
        <v>2995224</v>
      </c>
    </row>
    <row r="990" spans="2:17" s="168" customFormat="1" ht="33" customHeight="1">
      <c r="B990" s="163" t="s">
        <v>382</v>
      </c>
      <c r="C990" s="6"/>
      <c r="D990" s="97" t="s">
        <v>77</v>
      </c>
      <c r="E990" s="97" t="s">
        <v>534</v>
      </c>
      <c r="F990" s="97" t="s">
        <v>328</v>
      </c>
      <c r="G990" s="167"/>
      <c r="H990" s="169"/>
      <c r="I990" s="167"/>
      <c r="J990" s="169"/>
      <c r="K990" s="167"/>
      <c r="L990" s="170"/>
      <c r="M990" s="167"/>
      <c r="N990" s="170">
        <v>5080800</v>
      </c>
      <c r="O990" s="167">
        <f>M990+N990</f>
        <v>5080800</v>
      </c>
      <c r="P990" s="170">
        <v>-57809</v>
      </c>
      <c r="Q990" s="167">
        <f>O990+P990</f>
        <v>5022991</v>
      </c>
    </row>
    <row r="991" spans="2:17" s="168" customFormat="1" ht="33" customHeight="1">
      <c r="B991" s="96" t="s">
        <v>548</v>
      </c>
      <c r="C991" s="6"/>
      <c r="D991" s="97" t="s">
        <v>77</v>
      </c>
      <c r="E991" s="97" t="s">
        <v>534</v>
      </c>
      <c r="F991" s="97" t="s">
        <v>547</v>
      </c>
      <c r="G991" s="167"/>
      <c r="H991" s="169"/>
      <c r="I991" s="167"/>
      <c r="J991" s="169"/>
      <c r="K991" s="167"/>
      <c r="L991" s="170"/>
      <c r="M991" s="167"/>
      <c r="N991" s="170"/>
      <c r="O991" s="167"/>
      <c r="P991" s="170">
        <v>2376985</v>
      </c>
      <c r="Q991" s="167">
        <f>O991+P991</f>
        <v>2376985</v>
      </c>
    </row>
    <row r="992" spans="2:17" s="168" customFormat="1" ht="30.75" customHeight="1">
      <c r="B992" s="11" t="s">
        <v>81</v>
      </c>
      <c r="C992" s="6"/>
      <c r="D992" s="6" t="s">
        <v>77</v>
      </c>
      <c r="E992" s="6" t="s">
        <v>82</v>
      </c>
      <c r="F992" s="6"/>
      <c r="G992" s="167">
        <v>0</v>
      </c>
      <c r="H992" s="173"/>
      <c r="I992" s="167">
        <f>I993+I1004+I1001</f>
        <v>11802000</v>
      </c>
      <c r="J992" s="173"/>
      <c r="K992" s="167">
        <f>K993+K1004+K1001</f>
        <v>11802000</v>
      </c>
      <c r="L992" s="174"/>
      <c r="M992" s="167">
        <f>M993+M1004+M1001</f>
        <v>12803000</v>
      </c>
      <c r="N992" s="174"/>
      <c r="O992" s="167">
        <f>O993+O1004+O1001+O997</f>
        <v>13799000</v>
      </c>
      <c r="P992" s="174"/>
      <c r="Q992" s="167">
        <f>Q993+Q1004+Q1001+Q997+Q999</f>
        <v>14955528</v>
      </c>
    </row>
    <row r="993" spans="2:17" s="168" customFormat="1" ht="47.25">
      <c r="B993" s="11" t="s">
        <v>183</v>
      </c>
      <c r="C993" s="6"/>
      <c r="D993" s="6" t="s">
        <v>77</v>
      </c>
      <c r="E993" s="6" t="s">
        <v>336</v>
      </c>
      <c r="F993" s="6"/>
      <c r="G993" s="167"/>
      <c r="H993" s="173"/>
      <c r="I993" s="167">
        <f>I994</f>
        <v>11802000</v>
      </c>
      <c r="J993" s="173"/>
      <c r="K993" s="167">
        <f>K994</f>
        <v>11802000</v>
      </c>
      <c r="L993" s="174"/>
      <c r="M993" s="167">
        <f>M994</f>
        <v>11802000</v>
      </c>
      <c r="N993" s="174"/>
      <c r="O993" s="167">
        <f>O994+O995</f>
        <v>11802000</v>
      </c>
      <c r="P993" s="174"/>
      <c r="Q993" s="167">
        <f>Q994+Q995+Q996</f>
        <v>11802000</v>
      </c>
    </row>
    <row r="994" spans="2:17" s="168" customFormat="1" ht="31.5">
      <c r="B994" s="92" t="s">
        <v>382</v>
      </c>
      <c r="C994" s="6"/>
      <c r="D994" s="6" t="s">
        <v>77</v>
      </c>
      <c r="E994" s="6" t="s">
        <v>336</v>
      </c>
      <c r="F994" s="6" t="s">
        <v>328</v>
      </c>
      <c r="G994" s="167">
        <v>0</v>
      </c>
      <c r="H994" s="173">
        <v>11802000</v>
      </c>
      <c r="I994" s="167">
        <f>G994+H994</f>
        <v>11802000</v>
      </c>
      <c r="J994" s="173">
        <v>0</v>
      </c>
      <c r="K994" s="167">
        <f>I994+J994</f>
        <v>11802000</v>
      </c>
      <c r="L994" s="174"/>
      <c r="M994" s="167">
        <f>K994+L994</f>
        <v>11802000</v>
      </c>
      <c r="N994" s="174">
        <v>-174721.18</v>
      </c>
      <c r="O994" s="167">
        <f>M994+N994</f>
        <v>11627278.82</v>
      </c>
      <c r="P994" s="174">
        <v>-290248.93</v>
      </c>
      <c r="Q994" s="167">
        <f>O994+P994</f>
        <v>11337029.89</v>
      </c>
    </row>
    <row r="995" spans="2:17" s="168" customFormat="1" ht="63">
      <c r="B995" s="96" t="s">
        <v>546</v>
      </c>
      <c r="C995" s="6"/>
      <c r="D995" s="6" t="s">
        <v>77</v>
      </c>
      <c r="E995" s="6" t="s">
        <v>336</v>
      </c>
      <c r="F995" s="6" t="s">
        <v>545</v>
      </c>
      <c r="G995" s="167"/>
      <c r="H995" s="173"/>
      <c r="I995" s="167"/>
      <c r="J995" s="173"/>
      <c r="K995" s="167"/>
      <c r="L995" s="174"/>
      <c r="M995" s="167"/>
      <c r="N995" s="174">
        <v>174721.18</v>
      </c>
      <c r="O995" s="167">
        <f>M995+N995</f>
        <v>174721.18</v>
      </c>
      <c r="P995" s="174"/>
      <c r="Q995" s="167">
        <f>O995+P995</f>
        <v>174721.18</v>
      </c>
    </row>
    <row r="996" spans="2:17" s="168" customFormat="1" ht="31.5">
      <c r="B996" s="96" t="s">
        <v>548</v>
      </c>
      <c r="C996" s="6"/>
      <c r="D996" s="6" t="s">
        <v>77</v>
      </c>
      <c r="E996" s="6" t="s">
        <v>336</v>
      </c>
      <c r="F996" s="6" t="s">
        <v>547</v>
      </c>
      <c r="G996" s="167"/>
      <c r="H996" s="173"/>
      <c r="I996" s="167"/>
      <c r="J996" s="173"/>
      <c r="K996" s="167"/>
      <c r="L996" s="174"/>
      <c r="M996" s="167"/>
      <c r="N996" s="174"/>
      <c r="O996" s="167"/>
      <c r="P996" s="174">
        <v>290248.93</v>
      </c>
      <c r="Q996" s="167">
        <f>O996+P996</f>
        <v>290248.93</v>
      </c>
    </row>
    <row r="997" spans="2:17" s="188" customFormat="1" ht="63">
      <c r="B997" s="187" t="s">
        <v>535</v>
      </c>
      <c r="C997" s="184"/>
      <c r="D997" s="189" t="s">
        <v>77</v>
      </c>
      <c r="E997" s="189" t="s">
        <v>531</v>
      </c>
      <c r="F997" s="190"/>
      <c r="G997" s="185"/>
      <c r="H997" s="191"/>
      <c r="I997" s="185"/>
      <c r="J997" s="191"/>
      <c r="K997" s="185"/>
      <c r="L997" s="192"/>
      <c r="M997" s="185"/>
      <c r="N997" s="192"/>
      <c r="O997" s="185">
        <f>O998</f>
        <v>996000</v>
      </c>
      <c r="P997" s="192"/>
      <c r="Q997" s="185">
        <f>Q998</f>
        <v>2115000</v>
      </c>
    </row>
    <row r="998" spans="2:17" s="188" customFormat="1" ht="15.75">
      <c r="B998" s="187" t="s">
        <v>320</v>
      </c>
      <c r="C998" s="184"/>
      <c r="D998" s="189" t="s">
        <v>77</v>
      </c>
      <c r="E998" s="189" t="s">
        <v>531</v>
      </c>
      <c r="F998" s="190" t="s">
        <v>325</v>
      </c>
      <c r="G998" s="185"/>
      <c r="H998" s="191"/>
      <c r="I998" s="185"/>
      <c r="J998" s="191"/>
      <c r="K998" s="185"/>
      <c r="L998" s="192"/>
      <c r="M998" s="185"/>
      <c r="N998" s="192">
        <f>262000+734000</f>
        <v>996000</v>
      </c>
      <c r="O998" s="185">
        <f>M998+N998</f>
        <v>996000</v>
      </c>
      <c r="P998" s="192">
        <v>1119000</v>
      </c>
      <c r="Q998" s="185">
        <f>O998+P998</f>
        <v>2115000</v>
      </c>
    </row>
    <row r="999" spans="2:17" s="188" customFormat="1" ht="78.75">
      <c r="B999" s="183" t="s">
        <v>587</v>
      </c>
      <c r="C999" s="184"/>
      <c r="D999" s="184" t="s">
        <v>77</v>
      </c>
      <c r="E999" s="184" t="s">
        <v>585</v>
      </c>
      <c r="F999" s="184"/>
      <c r="G999" s="185"/>
      <c r="H999" s="191"/>
      <c r="I999" s="185"/>
      <c r="J999" s="191"/>
      <c r="K999" s="185"/>
      <c r="L999" s="192"/>
      <c r="M999" s="185"/>
      <c r="N999" s="192"/>
      <c r="O999" s="185"/>
      <c r="P999" s="192"/>
      <c r="Q999" s="185">
        <f>Q1000</f>
        <v>37528</v>
      </c>
    </row>
    <row r="1000" spans="2:17" s="188" customFormat="1" ht="15.75">
      <c r="B1000" s="193" t="s">
        <v>320</v>
      </c>
      <c r="C1000" s="184"/>
      <c r="D1000" s="184" t="s">
        <v>77</v>
      </c>
      <c r="E1000" s="184" t="s">
        <v>585</v>
      </c>
      <c r="F1000" s="184" t="s">
        <v>325</v>
      </c>
      <c r="G1000" s="185"/>
      <c r="H1000" s="191"/>
      <c r="I1000" s="185"/>
      <c r="J1000" s="191"/>
      <c r="K1000" s="185"/>
      <c r="L1000" s="192"/>
      <c r="M1000" s="185"/>
      <c r="N1000" s="192"/>
      <c r="O1000" s="185"/>
      <c r="P1000" s="192">
        <f>553000-515472</f>
        <v>37528</v>
      </c>
      <c r="Q1000" s="185">
        <f>O1000+P1000</f>
        <v>37528</v>
      </c>
    </row>
    <row r="1001" spans="2:17" ht="141.75">
      <c r="B1001" s="63" t="s">
        <v>252</v>
      </c>
      <c r="C1001" s="6"/>
      <c r="D1001" s="44" t="s">
        <v>77</v>
      </c>
      <c r="E1001" s="6" t="s">
        <v>344</v>
      </c>
      <c r="F1001" s="6"/>
      <c r="G1001" s="60">
        <f>G1002+G1003</f>
        <v>0</v>
      </c>
      <c r="H1001" s="118"/>
      <c r="I1001" s="60">
        <f>I1002+I1003</f>
        <v>0</v>
      </c>
      <c r="J1001" s="118"/>
      <c r="K1001" s="60">
        <f>K1002+K1003</f>
        <v>0</v>
      </c>
      <c r="L1001" s="141"/>
      <c r="M1001" s="60">
        <f>M1002+M1003</f>
        <v>971000</v>
      </c>
      <c r="N1001" s="141"/>
      <c r="O1001" s="60">
        <f>O1002+O1003</f>
        <v>971000</v>
      </c>
      <c r="P1001" s="141"/>
      <c r="Q1001" s="60">
        <f>Q1002+Q1003</f>
        <v>971000</v>
      </c>
    </row>
    <row r="1002" spans="2:17" ht="15.75" customHeight="1">
      <c r="B1002" s="31" t="s">
        <v>320</v>
      </c>
      <c r="C1002" s="44"/>
      <c r="D1002" s="44" t="s">
        <v>77</v>
      </c>
      <c r="E1002" s="44" t="s">
        <v>344</v>
      </c>
      <c r="F1002" s="44" t="s">
        <v>325</v>
      </c>
      <c r="G1002" s="60">
        <v>0</v>
      </c>
      <c r="H1002" s="120">
        <v>0</v>
      </c>
      <c r="I1002" s="60">
        <f>G1002+H1002</f>
        <v>0</v>
      </c>
      <c r="J1002" s="120">
        <v>0</v>
      </c>
      <c r="K1002" s="60">
        <f>I1002+J1002</f>
        <v>0</v>
      </c>
      <c r="L1002" s="145">
        <v>629918</v>
      </c>
      <c r="M1002" s="60">
        <f>K1002+L1002</f>
        <v>629918</v>
      </c>
      <c r="N1002" s="145">
        <v>0</v>
      </c>
      <c r="O1002" s="60">
        <f>M1002+N1002</f>
        <v>629918</v>
      </c>
      <c r="P1002" s="145"/>
      <c r="Q1002" s="60">
        <f>O1002+P1002</f>
        <v>629918</v>
      </c>
    </row>
    <row r="1003" spans="2:17" ht="30.75" customHeight="1">
      <c r="B1003" s="31" t="s">
        <v>382</v>
      </c>
      <c r="C1003" s="44"/>
      <c r="D1003" s="44" t="s">
        <v>77</v>
      </c>
      <c r="E1003" s="44" t="s">
        <v>344</v>
      </c>
      <c r="F1003" s="44" t="s">
        <v>328</v>
      </c>
      <c r="G1003" s="60">
        <v>0</v>
      </c>
      <c r="H1003" s="120">
        <v>0</v>
      </c>
      <c r="I1003" s="60">
        <f>G1003+H1003</f>
        <v>0</v>
      </c>
      <c r="J1003" s="120">
        <v>0</v>
      </c>
      <c r="K1003" s="60">
        <f>I1003+J1003</f>
        <v>0</v>
      </c>
      <c r="L1003" s="145">
        <v>341082</v>
      </c>
      <c r="M1003" s="60">
        <f>K1003+L1003</f>
        <v>341082</v>
      </c>
      <c r="N1003" s="145">
        <v>0</v>
      </c>
      <c r="O1003" s="60">
        <f>M1003+N1003</f>
        <v>341082</v>
      </c>
      <c r="P1003" s="145"/>
      <c r="Q1003" s="60">
        <f>O1003+P1003</f>
        <v>341082</v>
      </c>
    </row>
    <row r="1004" spans="2:17" ht="126">
      <c r="B1004" s="56" t="s">
        <v>228</v>
      </c>
      <c r="C1004" s="6"/>
      <c r="D1004" s="8" t="s">
        <v>77</v>
      </c>
      <c r="E1004" s="8" t="s">
        <v>346</v>
      </c>
      <c r="F1004" s="8"/>
      <c r="G1004" s="60">
        <f>G1005</f>
        <v>0</v>
      </c>
      <c r="H1004" s="118"/>
      <c r="I1004" s="60">
        <f>I1005</f>
        <v>0</v>
      </c>
      <c r="J1004" s="118"/>
      <c r="K1004" s="60">
        <f>K1005</f>
        <v>0</v>
      </c>
      <c r="L1004" s="141"/>
      <c r="M1004" s="60">
        <f>M1005</f>
        <v>30000</v>
      </c>
      <c r="N1004" s="141"/>
      <c r="O1004" s="60">
        <f>O1005+O1006</f>
        <v>30000</v>
      </c>
      <c r="P1004" s="141"/>
      <c r="Q1004" s="60">
        <f>Q1005+Q1006</f>
        <v>30000</v>
      </c>
    </row>
    <row r="1005" spans="2:17" ht="33" customHeight="1">
      <c r="B1005" s="31" t="s">
        <v>345</v>
      </c>
      <c r="C1005" s="6"/>
      <c r="D1005" s="8" t="s">
        <v>77</v>
      </c>
      <c r="E1005" s="8" t="s">
        <v>346</v>
      </c>
      <c r="F1005" s="8" t="s">
        <v>347</v>
      </c>
      <c r="G1005" s="60">
        <v>0</v>
      </c>
      <c r="H1005" s="118"/>
      <c r="I1005" s="60">
        <f>G1005+H1005</f>
        <v>0</v>
      </c>
      <c r="J1005" s="118"/>
      <c r="K1005" s="60">
        <f>I1005+J1005</f>
        <v>0</v>
      </c>
      <c r="L1005" s="141">
        <v>30000</v>
      </c>
      <c r="M1005" s="60">
        <f>K1005+L1005</f>
        <v>30000</v>
      </c>
      <c r="N1005" s="141">
        <v>-12900</v>
      </c>
      <c r="O1005" s="60">
        <f>M1005+N1005</f>
        <v>17100</v>
      </c>
      <c r="P1005" s="141"/>
      <c r="Q1005" s="60">
        <f>O1005+P1005</f>
        <v>17100</v>
      </c>
    </row>
    <row r="1006" spans="2:17" ht="33" customHeight="1">
      <c r="B1006" s="96" t="s">
        <v>548</v>
      </c>
      <c r="C1006" s="6"/>
      <c r="D1006" s="8" t="s">
        <v>77</v>
      </c>
      <c r="E1006" s="8" t="s">
        <v>346</v>
      </c>
      <c r="F1006" s="97" t="s">
        <v>547</v>
      </c>
      <c r="G1006" s="60"/>
      <c r="H1006" s="118"/>
      <c r="I1006" s="60"/>
      <c r="J1006" s="118"/>
      <c r="K1006" s="60"/>
      <c r="L1006" s="141"/>
      <c r="M1006" s="60"/>
      <c r="N1006" s="141">
        <v>12900</v>
      </c>
      <c r="O1006" s="60">
        <f>M1006+N1006</f>
        <v>12900</v>
      </c>
      <c r="P1006" s="141"/>
      <c r="Q1006" s="60">
        <f>O1006+P1006</f>
        <v>12900</v>
      </c>
    </row>
    <row r="1007" spans="2:17" ht="78.75">
      <c r="B1007" s="96" t="s">
        <v>569</v>
      </c>
      <c r="C1007" s="6"/>
      <c r="D1007" s="97" t="s">
        <v>77</v>
      </c>
      <c r="E1007" s="97" t="s">
        <v>522</v>
      </c>
      <c r="F1007" s="97"/>
      <c r="G1007" s="60"/>
      <c r="H1007" s="118"/>
      <c r="I1007" s="60"/>
      <c r="J1007" s="118"/>
      <c r="K1007" s="79"/>
      <c r="L1007" s="128"/>
      <c r="M1007" s="79">
        <f>M1008</f>
        <v>98000</v>
      </c>
      <c r="N1007" s="128"/>
      <c r="O1007" s="79">
        <f>O1008</f>
        <v>98000</v>
      </c>
      <c r="P1007" s="128"/>
      <c r="Q1007" s="79">
        <f>Q1008</f>
        <v>98000</v>
      </c>
    </row>
    <row r="1008" spans="2:17" ht="78.75">
      <c r="B1008" s="96" t="s">
        <v>521</v>
      </c>
      <c r="C1008" s="6"/>
      <c r="D1008" s="97" t="s">
        <v>77</v>
      </c>
      <c r="E1008" s="97" t="s">
        <v>523</v>
      </c>
      <c r="F1008" s="97"/>
      <c r="G1008" s="60"/>
      <c r="H1008" s="118"/>
      <c r="I1008" s="60"/>
      <c r="J1008" s="118"/>
      <c r="K1008" s="79"/>
      <c r="L1008" s="128"/>
      <c r="M1008" s="79">
        <f>M1009</f>
        <v>98000</v>
      </c>
      <c r="N1008" s="128"/>
      <c r="O1008" s="79">
        <f>O1009</f>
        <v>98000</v>
      </c>
      <c r="P1008" s="128"/>
      <c r="Q1008" s="79">
        <f>Q1009</f>
        <v>98000</v>
      </c>
    </row>
    <row r="1009" spans="2:17" ht="33" customHeight="1">
      <c r="B1009" s="96" t="s">
        <v>382</v>
      </c>
      <c r="C1009" s="6"/>
      <c r="D1009" s="97" t="s">
        <v>77</v>
      </c>
      <c r="E1009" s="97" t="s">
        <v>523</v>
      </c>
      <c r="F1009" s="97" t="s">
        <v>328</v>
      </c>
      <c r="G1009" s="60"/>
      <c r="H1009" s="118"/>
      <c r="I1009" s="60"/>
      <c r="J1009" s="118"/>
      <c r="K1009" s="79"/>
      <c r="L1009" s="128">
        <v>98000</v>
      </c>
      <c r="M1009" s="79">
        <f>K1009+L1009</f>
        <v>98000</v>
      </c>
      <c r="N1009" s="128">
        <v>0</v>
      </c>
      <c r="O1009" s="79">
        <f>M1009+N1009</f>
        <v>98000</v>
      </c>
      <c r="P1009" s="128"/>
      <c r="Q1009" s="79">
        <f>O1009+P1009</f>
        <v>98000</v>
      </c>
    </row>
    <row r="1010" spans="2:17" ht="47.25">
      <c r="B1010" s="96" t="s">
        <v>570</v>
      </c>
      <c r="C1010" s="6"/>
      <c r="D1010" s="97" t="s">
        <v>77</v>
      </c>
      <c r="E1010" s="97" t="s">
        <v>524</v>
      </c>
      <c r="F1010" s="97"/>
      <c r="G1010" s="60"/>
      <c r="H1010" s="118"/>
      <c r="I1010" s="60"/>
      <c r="J1010" s="118"/>
      <c r="K1010" s="79"/>
      <c r="L1010" s="128"/>
      <c r="M1010" s="79">
        <f>M1012+M1011</f>
        <v>5235000</v>
      </c>
      <c r="N1010" s="128"/>
      <c r="O1010" s="79">
        <f>O1012+O1011</f>
        <v>5235000</v>
      </c>
      <c r="P1010" s="128"/>
      <c r="Q1010" s="79">
        <f>Q1012+Q1011</f>
        <v>5235000</v>
      </c>
    </row>
    <row r="1011" spans="2:17" ht="47.25">
      <c r="B1011" s="96" t="s">
        <v>376</v>
      </c>
      <c r="C1011" s="6"/>
      <c r="D1011" s="97" t="s">
        <v>77</v>
      </c>
      <c r="E1011" s="98" t="s">
        <v>526</v>
      </c>
      <c r="F1011" s="97" t="s">
        <v>331</v>
      </c>
      <c r="G1011" s="60"/>
      <c r="H1011" s="118"/>
      <c r="I1011" s="60"/>
      <c r="J1011" s="118"/>
      <c r="K1011" s="79"/>
      <c r="L1011" s="128">
        <v>3485000</v>
      </c>
      <c r="M1011" s="79">
        <f>K1011+L1011</f>
        <v>3485000</v>
      </c>
      <c r="N1011" s="128">
        <v>0</v>
      </c>
      <c r="O1011" s="79">
        <f>M1011+N1011</f>
        <v>3485000</v>
      </c>
      <c r="P1011" s="128"/>
      <c r="Q1011" s="79">
        <f>O1011+P1011</f>
        <v>3485000</v>
      </c>
    </row>
    <row r="1012" spans="2:17" ht="33" customHeight="1">
      <c r="B1012" s="96" t="s">
        <v>382</v>
      </c>
      <c r="C1012" s="6"/>
      <c r="D1012" s="97" t="s">
        <v>77</v>
      </c>
      <c r="E1012" s="98" t="s">
        <v>525</v>
      </c>
      <c r="F1012" s="97" t="s">
        <v>328</v>
      </c>
      <c r="G1012" s="60"/>
      <c r="H1012" s="118"/>
      <c r="I1012" s="60"/>
      <c r="J1012" s="118"/>
      <c r="K1012" s="79"/>
      <c r="L1012" s="128">
        <v>1750000</v>
      </c>
      <c r="M1012" s="79">
        <f>K1012+L1012</f>
        <v>1750000</v>
      </c>
      <c r="N1012" s="128">
        <v>0</v>
      </c>
      <c r="O1012" s="79">
        <f>M1012+N1012</f>
        <v>1750000</v>
      </c>
      <c r="P1012" s="128"/>
      <c r="Q1012" s="79">
        <f>O1012+P1012</f>
        <v>1750000</v>
      </c>
    </row>
    <row r="1013" spans="2:17" ht="15.75">
      <c r="B1013" s="23" t="s">
        <v>83</v>
      </c>
      <c r="C1013" s="44"/>
      <c r="D1013" s="44" t="s">
        <v>84</v>
      </c>
      <c r="E1013" s="47"/>
      <c r="F1013" s="47"/>
      <c r="G1013" s="60" t="e">
        <f>SUM(G1014+G1021+G1032+G1035)</f>
        <v>#REF!</v>
      </c>
      <c r="H1013" s="120"/>
      <c r="I1013" s="60">
        <f>SUM(I1014+I1021+I1032+I1035)</f>
        <v>13407287</v>
      </c>
      <c r="J1013" s="120"/>
      <c r="K1013" s="60">
        <f>SUM(K1014+K1021+K1032+K1035)</f>
        <v>13628287</v>
      </c>
      <c r="L1013" s="145"/>
      <c r="M1013" s="60">
        <f>SUM(M1014+M1021+M1032+M1035)</f>
        <v>13845887</v>
      </c>
      <c r="N1013" s="145"/>
      <c r="O1013" s="60">
        <f>SUM(O1014+O1021+O1032+O1035+O1045)</f>
        <v>14145287</v>
      </c>
      <c r="P1013" s="145"/>
      <c r="Q1013" s="60">
        <f>SUM(Q1014+Q1021+Q1032+Q1035+Q1045)</f>
        <v>14245287</v>
      </c>
    </row>
    <row r="1014" spans="2:17" ht="31.5">
      <c r="B1014" s="23" t="s">
        <v>85</v>
      </c>
      <c r="C1014" s="44"/>
      <c r="D1014" s="44" t="s">
        <v>84</v>
      </c>
      <c r="E1014" s="44">
        <v>4310000</v>
      </c>
      <c r="F1014" s="44"/>
      <c r="G1014" s="60">
        <f>G1015</f>
        <v>0</v>
      </c>
      <c r="H1014" s="120"/>
      <c r="I1014" s="60">
        <f>I1015</f>
        <v>821000</v>
      </c>
      <c r="J1014" s="120"/>
      <c r="K1014" s="60">
        <f>K1015</f>
        <v>777000</v>
      </c>
      <c r="L1014" s="145"/>
      <c r="M1014" s="60">
        <f>M1015</f>
        <v>745000</v>
      </c>
      <c r="N1014" s="145"/>
      <c r="O1014" s="60">
        <f>O1015</f>
        <v>745000</v>
      </c>
      <c r="P1014" s="145"/>
      <c r="Q1014" s="60">
        <f>Q1015</f>
        <v>841000</v>
      </c>
    </row>
    <row r="1015" spans="2:17" ht="31.5">
      <c r="B1015" s="23" t="s">
        <v>125</v>
      </c>
      <c r="C1015" s="44"/>
      <c r="D1015" s="44" t="s">
        <v>84</v>
      </c>
      <c r="E1015" s="44" t="s">
        <v>130</v>
      </c>
      <c r="F1015" s="44"/>
      <c r="G1015" s="60">
        <f>SUM(G1016+G1020+G1017)</f>
        <v>0</v>
      </c>
      <c r="H1015" s="120"/>
      <c r="I1015" s="60">
        <f>SUM(I1016+I1020+I1017)</f>
        <v>821000</v>
      </c>
      <c r="J1015" s="120"/>
      <c r="K1015" s="60">
        <f>SUM(K1016+K1020+K1017)</f>
        <v>777000</v>
      </c>
      <c r="L1015" s="145"/>
      <c r="M1015" s="60">
        <f>SUM(M1016+M1020+M1017)</f>
        <v>745000</v>
      </c>
      <c r="N1015" s="145"/>
      <c r="O1015" s="60">
        <f>SUM(O1016+O1020+O1017+O1018+O1019)</f>
        <v>745000</v>
      </c>
      <c r="P1015" s="145"/>
      <c r="Q1015" s="60">
        <f>SUM(Q1016+Q1020+Q1017+Q1018+Q1019)</f>
        <v>841000</v>
      </c>
    </row>
    <row r="1016" spans="2:17" ht="15.75">
      <c r="B1016" s="32" t="s">
        <v>320</v>
      </c>
      <c r="C1016" s="44"/>
      <c r="D1016" s="44" t="s">
        <v>84</v>
      </c>
      <c r="E1016" s="44" t="s">
        <v>130</v>
      </c>
      <c r="F1016" s="44" t="s">
        <v>325</v>
      </c>
      <c r="G1016" s="60">
        <v>0</v>
      </c>
      <c r="H1016" s="120">
        <v>606732</v>
      </c>
      <c r="I1016" s="60">
        <f>G1016+H1016</f>
        <v>606732</v>
      </c>
      <c r="J1016" s="120">
        <v>0</v>
      </c>
      <c r="K1016" s="60">
        <f>I1016+J1016</f>
        <v>606732</v>
      </c>
      <c r="L1016" s="145"/>
      <c r="M1016" s="60">
        <f>K1016+L1016</f>
        <v>606732</v>
      </c>
      <c r="N1016" s="145"/>
      <c r="O1016" s="60">
        <f>M1016+N1016</f>
        <v>606732</v>
      </c>
      <c r="P1016" s="145"/>
      <c r="Q1016" s="60">
        <f>O1016+P1016</f>
        <v>606732</v>
      </c>
    </row>
    <row r="1017" spans="2:17" ht="47.25">
      <c r="B1017" s="31" t="s">
        <v>322</v>
      </c>
      <c r="C1017" s="44"/>
      <c r="D1017" s="44" t="s">
        <v>84</v>
      </c>
      <c r="E1017" s="44" t="s">
        <v>130</v>
      </c>
      <c r="F1017" s="44" t="s">
        <v>327</v>
      </c>
      <c r="G1017" s="60">
        <v>0</v>
      </c>
      <c r="H1017" s="120">
        <v>0</v>
      </c>
      <c r="I1017" s="60">
        <f>G1017+H1017</f>
        <v>0</v>
      </c>
      <c r="J1017" s="120">
        <v>0</v>
      </c>
      <c r="K1017" s="60">
        <f>I1017+J1017</f>
        <v>0</v>
      </c>
      <c r="L1017" s="145"/>
      <c r="M1017" s="60">
        <f>K1017+L1017</f>
        <v>0</v>
      </c>
      <c r="N1017" s="145"/>
      <c r="O1017" s="60">
        <f>M1017+N1017</f>
        <v>0</v>
      </c>
      <c r="P1017" s="145"/>
      <c r="Q1017" s="60">
        <f>O1017+P1017</f>
        <v>0</v>
      </c>
    </row>
    <row r="1018" spans="2:17" ht="35.25" customHeight="1">
      <c r="B1018" s="96" t="s">
        <v>382</v>
      </c>
      <c r="C1018" s="44"/>
      <c r="D1018" s="44" t="s">
        <v>84</v>
      </c>
      <c r="E1018" s="44" t="s">
        <v>130</v>
      </c>
      <c r="F1018" s="44" t="s">
        <v>328</v>
      </c>
      <c r="G1018" s="60"/>
      <c r="H1018" s="120"/>
      <c r="I1018" s="60"/>
      <c r="J1018" s="120"/>
      <c r="K1018" s="60"/>
      <c r="L1018" s="145"/>
      <c r="M1018" s="60"/>
      <c r="N1018" s="145">
        <v>800</v>
      </c>
      <c r="O1018" s="60">
        <f>M1018+N1018</f>
        <v>800</v>
      </c>
      <c r="P1018" s="145">
        <v>1500</v>
      </c>
      <c r="Q1018" s="60">
        <f>O1018+P1018</f>
        <v>2300</v>
      </c>
    </row>
    <row r="1019" spans="2:17" ht="35.25" customHeight="1">
      <c r="B1019" s="96" t="s">
        <v>324</v>
      </c>
      <c r="C1019" s="44"/>
      <c r="D1019" s="44" t="s">
        <v>84</v>
      </c>
      <c r="E1019" s="44" t="s">
        <v>130</v>
      </c>
      <c r="F1019" s="44" t="s">
        <v>329</v>
      </c>
      <c r="G1019" s="60"/>
      <c r="H1019" s="120"/>
      <c r="I1019" s="60"/>
      <c r="J1019" s="120"/>
      <c r="K1019" s="60"/>
      <c r="L1019" s="145"/>
      <c r="M1019" s="60"/>
      <c r="N1019" s="145">
        <v>800</v>
      </c>
      <c r="O1019" s="60">
        <f>M1019+N1019</f>
        <v>800</v>
      </c>
      <c r="P1019" s="145"/>
      <c r="Q1019" s="60">
        <f>O1019+P1019</f>
        <v>800</v>
      </c>
    </row>
    <row r="1020" spans="2:17" ht="18" customHeight="1">
      <c r="B1020" s="31" t="s">
        <v>334</v>
      </c>
      <c r="C1020" s="44"/>
      <c r="D1020" s="44" t="s">
        <v>84</v>
      </c>
      <c r="E1020" s="44" t="s">
        <v>130</v>
      </c>
      <c r="F1020" s="44" t="s">
        <v>335</v>
      </c>
      <c r="G1020" s="60">
        <v>0</v>
      </c>
      <c r="H1020" s="120">
        <v>214268</v>
      </c>
      <c r="I1020" s="60">
        <f>G1020+H1020</f>
        <v>214268</v>
      </c>
      <c r="J1020" s="120">
        <v>-44000</v>
      </c>
      <c r="K1020" s="60">
        <f>I1020+J1020</f>
        <v>170268</v>
      </c>
      <c r="L1020" s="145">
        <v>-32000</v>
      </c>
      <c r="M1020" s="60">
        <f>K1020+L1020</f>
        <v>138268</v>
      </c>
      <c r="N1020" s="145">
        <v>-1600</v>
      </c>
      <c r="O1020" s="60">
        <f>M1020+N1020</f>
        <v>136668</v>
      </c>
      <c r="P1020" s="145">
        <f>-5500+100000</f>
        <v>94500</v>
      </c>
      <c r="Q1020" s="60">
        <f>O1020+P1020</f>
        <v>231168</v>
      </c>
    </row>
    <row r="1021" spans="2:17" ht="47.25">
      <c r="B1021" s="23" t="s">
        <v>86</v>
      </c>
      <c r="C1021" s="44"/>
      <c r="D1021" s="44" t="s">
        <v>84</v>
      </c>
      <c r="E1021" s="44">
        <v>4320000</v>
      </c>
      <c r="F1021" s="44"/>
      <c r="G1021" s="60" t="e">
        <f>G1022+G1030</f>
        <v>#REF!</v>
      </c>
      <c r="H1021" s="120"/>
      <c r="I1021" s="60">
        <f>I1022+I1030</f>
        <v>11167287</v>
      </c>
      <c r="J1021" s="120"/>
      <c r="K1021" s="60">
        <f>K1022+K1030</f>
        <v>11432287</v>
      </c>
      <c r="L1021" s="145"/>
      <c r="M1021" s="60">
        <f>M1022+M1030</f>
        <v>11432287</v>
      </c>
      <c r="N1021" s="145"/>
      <c r="O1021" s="60">
        <f>O1022+O1030</f>
        <v>11099287</v>
      </c>
      <c r="P1021" s="145"/>
      <c r="Q1021" s="60">
        <f>Q1022+Q1030</f>
        <v>11099287</v>
      </c>
    </row>
    <row r="1022" spans="2:17" ht="18" customHeight="1">
      <c r="B1022" s="12" t="s">
        <v>87</v>
      </c>
      <c r="C1022" s="6"/>
      <c r="D1022" s="44" t="s">
        <v>84</v>
      </c>
      <c r="E1022" s="6" t="s">
        <v>131</v>
      </c>
      <c r="F1022" s="6"/>
      <c r="G1022" s="60" t="e">
        <f>G1023+G1027+G1024</f>
        <v>#REF!</v>
      </c>
      <c r="H1022" s="118"/>
      <c r="I1022" s="60">
        <f>I1023+I1027+I1024</f>
        <v>9274000</v>
      </c>
      <c r="J1022" s="118"/>
      <c r="K1022" s="60">
        <f>K1023+K1027+K1024</f>
        <v>9784000</v>
      </c>
      <c r="L1022" s="141"/>
      <c r="M1022" s="60">
        <f>M1023+M1027+M1024</f>
        <v>9784000</v>
      </c>
      <c r="N1022" s="141"/>
      <c r="O1022" s="60">
        <f>O1023+O1027+O1024+O1026+O1025</f>
        <v>9784000</v>
      </c>
      <c r="P1022" s="141"/>
      <c r="Q1022" s="60">
        <f>Q1023+Q1027+Q1024+Q1026+Q1025</f>
        <v>9784000</v>
      </c>
    </row>
    <row r="1023" spans="2:17" ht="37.5" customHeight="1">
      <c r="B1023" s="96" t="s">
        <v>382</v>
      </c>
      <c r="C1023" s="6"/>
      <c r="D1023" s="46" t="s">
        <v>84</v>
      </c>
      <c r="E1023" s="46" t="s">
        <v>131</v>
      </c>
      <c r="F1023" s="46" t="s">
        <v>328</v>
      </c>
      <c r="G1023" s="86">
        <v>0</v>
      </c>
      <c r="H1023" s="118">
        <v>1701600</v>
      </c>
      <c r="I1023" s="86">
        <f>G1023+H1023</f>
        <v>1701600</v>
      </c>
      <c r="J1023" s="118">
        <v>392000</v>
      </c>
      <c r="K1023" s="86">
        <f>I1023+J1023</f>
        <v>2093600</v>
      </c>
      <c r="L1023" s="141">
        <v>222993</v>
      </c>
      <c r="M1023" s="86">
        <f>K1023+L1023</f>
        <v>2316593</v>
      </c>
      <c r="N1023" s="141">
        <f>-310-66077</f>
        <v>-66387</v>
      </c>
      <c r="O1023" s="86">
        <f>M1023+N1023</f>
        <v>2250206</v>
      </c>
      <c r="P1023" s="141"/>
      <c r="Q1023" s="86">
        <f>O1023+P1023</f>
        <v>2250206</v>
      </c>
    </row>
    <row r="1024" spans="2:17" ht="63">
      <c r="B1024" s="96" t="s">
        <v>543</v>
      </c>
      <c r="C1024" s="6"/>
      <c r="D1024" s="46" t="s">
        <v>84</v>
      </c>
      <c r="E1024" s="46" t="s">
        <v>131</v>
      </c>
      <c r="F1024" s="46" t="s">
        <v>350</v>
      </c>
      <c r="G1024" s="86">
        <v>0</v>
      </c>
      <c r="H1024" s="118">
        <v>5432400</v>
      </c>
      <c r="I1024" s="86">
        <f>G1024+H1024</f>
        <v>5432400</v>
      </c>
      <c r="J1024" s="118">
        <v>0</v>
      </c>
      <c r="K1024" s="86">
        <f>I1024+J1024</f>
        <v>5432400</v>
      </c>
      <c r="L1024" s="141">
        <v>-222993</v>
      </c>
      <c r="M1024" s="86">
        <f>K1024+L1024</f>
        <v>5209407</v>
      </c>
      <c r="N1024" s="141">
        <f>310-5209717</f>
        <v>-5209407</v>
      </c>
      <c r="O1024" s="86">
        <f>M1024+N1024</f>
        <v>0</v>
      </c>
      <c r="P1024" s="141"/>
      <c r="Q1024" s="86">
        <f>O1024+P1024</f>
        <v>0</v>
      </c>
    </row>
    <row r="1025" spans="2:17" ht="63">
      <c r="B1025" s="96" t="s">
        <v>552</v>
      </c>
      <c r="C1025" s="6"/>
      <c r="D1025" s="46" t="s">
        <v>84</v>
      </c>
      <c r="E1025" s="46" t="s">
        <v>131</v>
      </c>
      <c r="F1025" s="98" t="s">
        <v>545</v>
      </c>
      <c r="G1025" s="86"/>
      <c r="H1025" s="118"/>
      <c r="I1025" s="86"/>
      <c r="J1025" s="118"/>
      <c r="K1025" s="86"/>
      <c r="L1025" s="141"/>
      <c r="M1025" s="86"/>
      <c r="N1025" s="141">
        <v>5209717</v>
      </c>
      <c r="O1025" s="86">
        <f>M1025+N1025</f>
        <v>5209717</v>
      </c>
      <c r="P1025" s="141"/>
      <c r="Q1025" s="86">
        <f>O1025+P1025</f>
        <v>5209717</v>
      </c>
    </row>
    <row r="1026" spans="2:17" ht="33.75" customHeight="1">
      <c r="B1026" s="96" t="s">
        <v>548</v>
      </c>
      <c r="C1026" s="6"/>
      <c r="D1026" s="46" t="s">
        <v>84</v>
      </c>
      <c r="E1026" s="46" t="s">
        <v>131</v>
      </c>
      <c r="F1026" s="98" t="s">
        <v>547</v>
      </c>
      <c r="G1026" s="86"/>
      <c r="H1026" s="118"/>
      <c r="I1026" s="86"/>
      <c r="J1026" s="118"/>
      <c r="K1026" s="86"/>
      <c r="L1026" s="141"/>
      <c r="M1026" s="86"/>
      <c r="N1026" s="141">
        <v>66077</v>
      </c>
      <c r="O1026" s="86">
        <f>M1026+N1026</f>
        <v>66077</v>
      </c>
      <c r="P1026" s="141"/>
      <c r="Q1026" s="86">
        <f>O1026+P1026</f>
        <v>66077</v>
      </c>
    </row>
    <row r="1027" spans="2:17" ht="18" customHeight="1">
      <c r="B1027" s="12" t="s">
        <v>87</v>
      </c>
      <c r="C1027" s="6"/>
      <c r="D1027" s="44" t="s">
        <v>84</v>
      </c>
      <c r="E1027" s="6" t="s">
        <v>270</v>
      </c>
      <c r="F1027" s="6"/>
      <c r="G1027" s="60" t="e">
        <f>G1028+#REF!</f>
        <v>#REF!</v>
      </c>
      <c r="H1027" s="118"/>
      <c r="I1027" s="60">
        <f>I1028</f>
        <v>2140000</v>
      </c>
      <c r="J1027" s="118"/>
      <c r="K1027" s="60">
        <f>K1028</f>
        <v>2258000</v>
      </c>
      <c r="L1027" s="141"/>
      <c r="M1027" s="60">
        <f>M1028</f>
        <v>2258000</v>
      </c>
      <c r="N1027" s="141"/>
      <c r="O1027" s="60">
        <f>O1028+O1029</f>
        <v>2258000</v>
      </c>
      <c r="P1027" s="141"/>
      <c r="Q1027" s="60">
        <f>Q1028+Q1029</f>
        <v>2258000</v>
      </c>
    </row>
    <row r="1028" spans="2:17" ht="33" customHeight="1">
      <c r="B1028" s="31" t="s">
        <v>382</v>
      </c>
      <c r="C1028" s="44"/>
      <c r="D1028" s="44" t="s">
        <v>84</v>
      </c>
      <c r="E1028" s="44" t="s">
        <v>270</v>
      </c>
      <c r="F1028" s="44" t="s">
        <v>328</v>
      </c>
      <c r="G1028" s="60">
        <v>0</v>
      </c>
      <c r="H1028" s="120">
        <v>2140000</v>
      </c>
      <c r="I1028" s="60">
        <f>G1028+H1028</f>
        <v>2140000</v>
      </c>
      <c r="J1028" s="120">
        <v>118000</v>
      </c>
      <c r="K1028" s="60">
        <f>I1028+J1028</f>
        <v>2258000</v>
      </c>
      <c r="L1028" s="145"/>
      <c r="M1028" s="60">
        <f>K1028+L1028</f>
        <v>2258000</v>
      </c>
      <c r="N1028" s="145">
        <f>-92603-13020.9</f>
        <v>-105623.9</v>
      </c>
      <c r="O1028" s="60">
        <f>M1028+N1028</f>
        <v>2152376.1</v>
      </c>
      <c r="P1028" s="145">
        <v>-9000</v>
      </c>
      <c r="Q1028" s="60">
        <f>O1028+P1028</f>
        <v>2143376.1</v>
      </c>
    </row>
    <row r="1029" spans="2:17" ht="33" customHeight="1">
      <c r="B1029" s="96" t="s">
        <v>548</v>
      </c>
      <c r="C1029" s="44"/>
      <c r="D1029" s="44" t="s">
        <v>84</v>
      </c>
      <c r="E1029" s="44" t="s">
        <v>270</v>
      </c>
      <c r="F1029" s="44" t="s">
        <v>547</v>
      </c>
      <c r="G1029" s="60"/>
      <c r="H1029" s="120"/>
      <c r="I1029" s="60"/>
      <c r="J1029" s="120"/>
      <c r="K1029" s="60"/>
      <c r="L1029" s="145"/>
      <c r="M1029" s="60"/>
      <c r="N1029" s="145">
        <v>105623.9</v>
      </c>
      <c r="O1029" s="60">
        <f>M1029+N1029</f>
        <v>105623.9</v>
      </c>
      <c r="P1029" s="145">
        <v>9000</v>
      </c>
      <c r="Q1029" s="60">
        <f>O1029+P1029</f>
        <v>114623.9</v>
      </c>
    </row>
    <row r="1030" spans="2:17" ht="34.5" customHeight="1">
      <c r="B1030" s="31" t="s">
        <v>79</v>
      </c>
      <c r="C1030" s="44"/>
      <c r="D1030" s="8" t="s">
        <v>84</v>
      </c>
      <c r="E1030" s="46" t="s">
        <v>349</v>
      </c>
      <c r="F1030" s="46"/>
      <c r="G1030" s="60">
        <f>G1031</f>
        <v>0</v>
      </c>
      <c r="H1030" s="120"/>
      <c r="I1030" s="60">
        <f>I1031</f>
        <v>1893287</v>
      </c>
      <c r="J1030" s="120"/>
      <c r="K1030" s="60">
        <f>K1031</f>
        <v>1648287</v>
      </c>
      <c r="L1030" s="145"/>
      <c r="M1030" s="60">
        <f>M1031</f>
        <v>1648287</v>
      </c>
      <c r="N1030" s="145"/>
      <c r="O1030" s="60">
        <f>O1031+O1033</f>
        <v>1315287</v>
      </c>
      <c r="P1030" s="145"/>
      <c r="Q1030" s="60">
        <f>Q1031+Q1033</f>
        <v>1315287</v>
      </c>
    </row>
    <row r="1031" spans="2:17" ht="63">
      <c r="B1031" s="96" t="s">
        <v>491</v>
      </c>
      <c r="C1031" s="44"/>
      <c r="D1031" s="8" t="s">
        <v>84</v>
      </c>
      <c r="E1031" s="46" t="s">
        <v>349</v>
      </c>
      <c r="F1031" s="46" t="s">
        <v>350</v>
      </c>
      <c r="G1031" s="60">
        <v>0</v>
      </c>
      <c r="H1031" s="120">
        <v>1893287</v>
      </c>
      <c r="I1031" s="60">
        <f>G1031+H1031</f>
        <v>1893287</v>
      </c>
      <c r="J1031" s="120">
        <v>-245000</v>
      </c>
      <c r="K1031" s="60">
        <f>I1031+J1031</f>
        <v>1648287</v>
      </c>
      <c r="L1031" s="145"/>
      <c r="M1031" s="60">
        <f>K1031+L1031</f>
        <v>1648287</v>
      </c>
      <c r="N1031" s="145">
        <f>-333000-440000</f>
        <v>-773000</v>
      </c>
      <c r="O1031" s="60">
        <f>M1031+N1031</f>
        <v>875287</v>
      </c>
      <c r="P1031" s="145">
        <v>-69534</v>
      </c>
      <c r="Q1031" s="60">
        <f>O1031+P1031</f>
        <v>805753</v>
      </c>
    </row>
    <row r="1032" spans="2:17" ht="43.5" customHeight="1" hidden="1">
      <c r="B1032" s="96" t="s">
        <v>491</v>
      </c>
      <c r="C1032" s="44"/>
      <c r="D1032" s="8" t="s">
        <v>84</v>
      </c>
      <c r="E1032" s="46" t="s">
        <v>349</v>
      </c>
      <c r="F1032" s="46" t="s">
        <v>350</v>
      </c>
      <c r="G1032" s="60">
        <f>G1034</f>
        <v>0</v>
      </c>
      <c r="H1032" s="118"/>
      <c r="I1032" s="60">
        <f>I1034</f>
        <v>0</v>
      </c>
      <c r="J1032" s="118"/>
      <c r="K1032" s="60">
        <f>K1034</f>
        <v>0</v>
      </c>
      <c r="L1032" s="141"/>
      <c r="M1032" s="60">
        <f>M1034</f>
        <v>0</v>
      </c>
      <c r="N1032" s="141"/>
      <c r="O1032" s="60">
        <f>O1034</f>
        <v>0</v>
      </c>
      <c r="P1032" s="141"/>
      <c r="Q1032" s="60">
        <f>Q1034</f>
        <v>0</v>
      </c>
    </row>
    <row r="1033" spans="2:17" ht="63">
      <c r="B1033" s="96" t="s">
        <v>546</v>
      </c>
      <c r="C1033" s="44"/>
      <c r="D1033" s="8" t="s">
        <v>84</v>
      </c>
      <c r="E1033" s="46" t="s">
        <v>349</v>
      </c>
      <c r="F1033" s="98" t="s">
        <v>545</v>
      </c>
      <c r="G1033" s="60"/>
      <c r="H1033" s="118"/>
      <c r="I1033" s="60"/>
      <c r="J1033" s="118"/>
      <c r="K1033" s="60"/>
      <c r="L1033" s="141"/>
      <c r="M1033" s="60"/>
      <c r="N1033" s="141">
        <v>440000</v>
      </c>
      <c r="O1033" s="60">
        <f>M1033+N1033</f>
        <v>440000</v>
      </c>
      <c r="P1033" s="141">
        <v>69534</v>
      </c>
      <c r="Q1033" s="60">
        <f>O1033+P1033</f>
        <v>509534</v>
      </c>
    </row>
    <row r="1034" spans="2:17" ht="21.75" customHeight="1" hidden="1">
      <c r="B1034" s="96" t="s">
        <v>491</v>
      </c>
      <c r="C1034" s="44"/>
      <c r="D1034" s="8" t="s">
        <v>84</v>
      </c>
      <c r="E1034" s="46" t="s">
        <v>349</v>
      </c>
      <c r="F1034" s="46" t="s">
        <v>350</v>
      </c>
      <c r="G1034" s="60">
        <v>0</v>
      </c>
      <c r="H1034" s="118"/>
      <c r="I1034" s="60">
        <f>G1034+H1034</f>
        <v>0</v>
      </c>
      <c r="J1034" s="118"/>
      <c r="K1034" s="60">
        <f>I1034+J1034</f>
        <v>0</v>
      </c>
      <c r="L1034" s="141"/>
      <c r="M1034" s="60">
        <f>K1034+L1034</f>
        <v>0</v>
      </c>
      <c r="N1034" s="141"/>
      <c r="O1034" s="60">
        <f>M1034+N1034</f>
        <v>0</v>
      </c>
      <c r="P1034" s="141"/>
      <c r="Q1034" s="60">
        <f>O1034+P1034</f>
        <v>0</v>
      </c>
    </row>
    <row r="1035" spans="2:17" ht="15.75">
      <c r="B1035" s="12" t="s">
        <v>313</v>
      </c>
      <c r="C1035" s="6"/>
      <c r="D1035" s="44" t="s">
        <v>84</v>
      </c>
      <c r="E1035" s="6" t="s">
        <v>104</v>
      </c>
      <c r="F1035" s="6"/>
      <c r="G1035" s="60" t="e">
        <f>G1036+G1038+#REF!+G1042</f>
        <v>#REF!</v>
      </c>
      <c r="H1035" s="118"/>
      <c r="I1035" s="60">
        <f>I1036+I1038+I1042</f>
        <v>1419000</v>
      </c>
      <c r="J1035" s="118"/>
      <c r="K1035" s="60">
        <f>K1036+K1038+K1042</f>
        <v>1419000</v>
      </c>
      <c r="L1035" s="141"/>
      <c r="M1035" s="60">
        <f>M1036+M1038+M1040+M1042</f>
        <v>1668600</v>
      </c>
      <c r="N1035" s="141"/>
      <c r="O1035" s="60">
        <f>O1036+O1038+O1040+O1042</f>
        <v>2001600</v>
      </c>
      <c r="P1035" s="141"/>
      <c r="Q1035" s="60">
        <f>Q1036+Q1038+Q1040+Q1042</f>
        <v>2005600</v>
      </c>
    </row>
    <row r="1036" spans="2:17" ht="51.75" customHeight="1">
      <c r="B1036" s="23" t="s">
        <v>301</v>
      </c>
      <c r="C1036" s="44" t="s">
        <v>231</v>
      </c>
      <c r="D1036" s="44" t="s">
        <v>84</v>
      </c>
      <c r="E1036" s="44" t="s">
        <v>267</v>
      </c>
      <c r="F1036" s="44"/>
      <c r="G1036" s="60">
        <f>G1037</f>
        <v>0</v>
      </c>
      <c r="H1036" s="120"/>
      <c r="I1036" s="60">
        <f>I1037</f>
        <v>75000</v>
      </c>
      <c r="J1036" s="120"/>
      <c r="K1036" s="60">
        <f>K1037</f>
        <v>152000</v>
      </c>
      <c r="L1036" s="145"/>
      <c r="M1036" s="60">
        <f>M1037</f>
        <v>301600</v>
      </c>
      <c r="N1036" s="145"/>
      <c r="O1036" s="60">
        <f>O1037</f>
        <v>301600</v>
      </c>
      <c r="P1036" s="145"/>
      <c r="Q1036" s="60">
        <f>Q1037</f>
        <v>305600</v>
      </c>
    </row>
    <row r="1037" spans="2:17" ht="32.25" customHeight="1">
      <c r="B1037" s="31" t="s">
        <v>382</v>
      </c>
      <c r="C1037" s="87" t="s">
        <v>231</v>
      </c>
      <c r="D1037" s="44" t="s">
        <v>84</v>
      </c>
      <c r="E1037" s="44" t="s">
        <v>267</v>
      </c>
      <c r="F1037" s="44" t="s">
        <v>328</v>
      </c>
      <c r="G1037" s="60">
        <v>0</v>
      </c>
      <c r="H1037" s="120">
        <v>75000</v>
      </c>
      <c r="I1037" s="60">
        <f>G1037+H1037</f>
        <v>75000</v>
      </c>
      <c r="J1037" s="120">
        <v>77000</v>
      </c>
      <c r="K1037" s="60">
        <f>I1037+J1037</f>
        <v>152000</v>
      </c>
      <c r="L1037" s="145">
        <f>123200+26400</f>
        <v>149600</v>
      </c>
      <c r="M1037" s="60">
        <f>K1037+L1037</f>
        <v>301600</v>
      </c>
      <c r="N1037" s="145">
        <v>0</v>
      </c>
      <c r="O1037" s="60">
        <f>M1037+N1037</f>
        <v>301600</v>
      </c>
      <c r="P1037" s="145">
        <v>4000</v>
      </c>
      <c r="Q1037" s="60">
        <f>O1037+P1037</f>
        <v>305600</v>
      </c>
    </row>
    <row r="1038" spans="2:17" ht="0.75" customHeight="1" hidden="1">
      <c r="B1038" s="81" t="s">
        <v>318</v>
      </c>
      <c r="C1038" s="44"/>
      <c r="D1038" s="44" t="s">
        <v>84</v>
      </c>
      <c r="E1038" s="44" t="s">
        <v>268</v>
      </c>
      <c r="F1038" s="44"/>
      <c r="G1038" s="70">
        <f>G1039</f>
        <v>0</v>
      </c>
      <c r="H1038" s="122"/>
      <c r="I1038" s="70">
        <f>I1039</f>
        <v>77000</v>
      </c>
      <c r="J1038" s="122"/>
      <c r="K1038" s="70">
        <f>K1039</f>
        <v>0</v>
      </c>
      <c r="L1038" s="147"/>
      <c r="M1038" s="70">
        <f>M1039</f>
        <v>0</v>
      </c>
      <c r="N1038" s="147"/>
      <c r="O1038" s="70">
        <f>O1039</f>
        <v>0</v>
      </c>
      <c r="P1038" s="147"/>
      <c r="Q1038" s="70">
        <f>Q1039</f>
        <v>0</v>
      </c>
    </row>
    <row r="1039" spans="2:17" ht="17.25" customHeight="1" hidden="1">
      <c r="B1039" s="81" t="s">
        <v>334</v>
      </c>
      <c r="C1039" s="44"/>
      <c r="D1039" s="44" t="s">
        <v>84</v>
      </c>
      <c r="E1039" s="44" t="s">
        <v>268</v>
      </c>
      <c r="F1039" s="44" t="s">
        <v>335</v>
      </c>
      <c r="G1039" s="70">
        <v>0</v>
      </c>
      <c r="H1039" s="122">
        <v>77000</v>
      </c>
      <c r="I1039" s="70">
        <f>G1039+H1039</f>
        <v>77000</v>
      </c>
      <c r="J1039" s="122">
        <v>-77000</v>
      </c>
      <c r="K1039" s="70">
        <f>I1039+J1039</f>
        <v>0</v>
      </c>
      <c r="L1039" s="147"/>
      <c r="M1039" s="70">
        <f>K1039+L1039</f>
        <v>0</v>
      </c>
      <c r="N1039" s="147"/>
      <c r="O1039" s="70">
        <f>M1039+N1039</f>
        <v>0</v>
      </c>
      <c r="P1039" s="147"/>
      <c r="Q1039" s="70">
        <f>O1039+P1039</f>
        <v>0</v>
      </c>
    </row>
    <row r="1040" spans="2:17" ht="33.75" customHeight="1">
      <c r="B1040" s="105" t="s">
        <v>486</v>
      </c>
      <c r="C1040" s="44"/>
      <c r="D1040" s="44" t="s">
        <v>84</v>
      </c>
      <c r="E1040" s="44" t="s">
        <v>483</v>
      </c>
      <c r="F1040" s="44"/>
      <c r="G1040" s="70"/>
      <c r="H1040" s="122"/>
      <c r="I1040" s="70"/>
      <c r="J1040" s="122"/>
      <c r="K1040" s="70"/>
      <c r="L1040" s="147"/>
      <c r="M1040" s="70">
        <f>M1041</f>
        <v>100000</v>
      </c>
      <c r="N1040" s="147"/>
      <c r="O1040" s="70">
        <f>O1041</f>
        <v>100000</v>
      </c>
      <c r="P1040" s="147"/>
      <c r="Q1040" s="70">
        <f>Q1041</f>
        <v>100000</v>
      </c>
    </row>
    <row r="1041" spans="2:17" ht="35.25" customHeight="1">
      <c r="B1041" s="31" t="s">
        <v>382</v>
      </c>
      <c r="C1041" s="44"/>
      <c r="D1041" s="44" t="s">
        <v>84</v>
      </c>
      <c r="E1041" s="44" t="s">
        <v>483</v>
      </c>
      <c r="F1041" s="44" t="s">
        <v>328</v>
      </c>
      <c r="G1041" s="70"/>
      <c r="H1041" s="122"/>
      <c r="I1041" s="70"/>
      <c r="J1041" s="122"/>
      <c r="K1041" s="70"/>
      <c r="L1041" s="147">
        <v>100000</v>
      </c>
      <c r="M1041" s="70">
        <f>K1041+L1041</f>
        <v>100000</v>
      </c>
      <c r="N1041" s="147">
        <v>0</v>
      </c>
      <c r="O1041" s="70">
        <f>M1041+N1041</f>
        <v>100000</v>
      </c>
      <c r="P1041" s="147"/>
      <c r="Q1041" s="70">
        <f>O1041+P1041</f>
        <v>100000</v>
      </c>
    </row>
    <row r="1042" spans="2:17" ht="98.25" customHeight="1">
      <c r="B1042" s="81" t="s">
        <v>423</v>
      </c>
      <c r="C1042" s="44"/>
      <c r="D1042" s="44" t="s">
        <v>84</v>
      </c>
      <c r="E1042" s="44" t="s">
        <v>289</v>
      </c>
      <c r="F1042" s="44"/>
      <c r="G1042" s="70">
        <f>G1043</f>
        <v>0</v>
      </c>
      <c r="H1042" s="122"/>
      <c r="I1042" s="70">
        <f>I1043</f>
        <v>1267000</v>
      </c>
      <c r="J1042" s="122"/>
      <c r="K1042" s="70">
        <f>K1043</f>
        <v>1267000</v>
      </c>
      <c r="L1042" s="147"/>
      <c r="M1042" s="70">
        <f>M1043</f>
        <v>1267000</v>
      </c>
      <c r="N1042" s="147"/>
      <c r="O1042" s="70">
        <f>O1043+O1044</f>
        <v>1600000</v>
      </c>
      <c r="P1042" s="147"/>
      <c r="Q1042" s="70">
        <f>Q1043+Q1044</f>
        <v>1600000</v>
      </c>
    </row>
    <row r="1043" spans="2:17" ht="31.5">
      <c r="B1043" s="31" t="s">
        <v>351</v>
      </c>
      <c r="C1043" s="44"/>
      <c r="D1043" s="44" t="s">
        <v>84</v>
      </c>
      <c r="E1043" s="44" t="s">
        <v>289</v>
      </c>
      <c r="F1043" s="101" t="s">
        <v>352</v>
      </c>
      <c r="G1043" s="70">
        <v>0</v>
      </c>
      <c r="H1043" s="122">
        <v>1267000</v>
      </c>
      <c r="I1043" s="70">
        <f>G1043+H1043</f>
        <v>1267000</v>
      </c>
      <c r="J1043" s="122">
        <v>0</v>
      </c>
      <c r="K1043" s="70">
        <f>I1043+J1043</f>
        <v>1267000</v>
      </c>
      <c r="L1043" s="147"/>
      <c r="M1043" s="70">
        <f>K1043+L1043</f>
        <v>1267000</v>
      </c>
      <c r="N1043" s="147">
        <f>333000-855000</f>
        <v>-522000</v>
      </c>
      <c r="O1043" s="70">
        <f>M1043+N1043</f>
        <v>745000</v>
      </c>
      <c r="P1043" s="147"/>
      <c r="Q1043" s="70">
        <f>O1043+P1043</f>
        <v>745000</v>
      </c>
    </row>
    <row r="1044" spans="2:17" ht="31.5">
      <c r="B1044" s="96" t="s">
        <v>548</v>
      </c>
      <c r="C1044" s="44"/>
      <c r="D1044" s="44" t="s">
        <v>84</v>
      </c>
      <c r="E1044" s="44" t="s">
        <v>289</v>
      </c>
      <c r="F1044" s="101" t="s">
        <v>547</v>
      </c>
      <c r="G1044" s="70"/>
      <c r="H1044" s="122"/>
      <c r="I1044" s="70"/>
      <c r="J1044" s="122"/>
      <c r="K1044" s="70"/>
      <c r="L1044" s="147"/>
      <c r="M1044" s="70"/>
      <c r="N1044" s="147">
        <v>855000</v>
      </c>
      <c r="O1044" s="70">
        <f>M1044+N1044</f>
        <v>855000</v>
      </c>
      <c r="P1044" s="147"/>
      <c r="Q1044" s="70">
        <f>O1044+P1044</f>
        <v>855000</v>
      </c>
    </row>
    <row r="1045" spans="2:17" ht="36" customHeight="1">
      <c r="B1045" s="96" t="s">
        <v>538</v>
      </c>
      <c r="C1045" s="101" t="s">
        <v>200</v>
      </c>
      <c r="D1045" s="101" t="s">
        <v>84</v>
      </c>
      <c r="E1045" s="101" t="s">
        <v>539</v>
      </c>
      <c r="F1045" s="101"/>
      <c r="G1045" s="60"/>
      <c r="H1045" s="60"/>
      <c r="I1045" s="60"/>
      <c r="J1045" s="60"/>
      <c r="K1045" s="60"/>
      <c r="L1045" s="142"/>
      <c r="M1045" s="60"/>
      <c r="N1045" s="142"/>
      <c r="O1045" s="60">
        <f>O1046</f>
        <v>299400</v>
      </c>
      <c r="P1045" s="142"/>
      <c r="Q1045" s="60">
        <f>Q1046</f>
        <v>299400</v>
      </c>
    </row>
    <row r="1046" spans="2:17" ht="96" customHeight="1">
      <c r="B1046" s="96" t="s">
        <v>540</v>
      </c>
      <c r="C1046" s="101" t="s">
        <v>200</v>
      </c>
      <c r="D1046" s="101" t="s">
        <v>84</v>
      </c>
      <c r="E1046" s="101" t="s">
        <v>541</v>
      </c>
      <c r="F1046" s="101"/>
      <c r="G1046" s="60"/>
      <c r="H1046" s="60"/>
      <c r="I1046" s="60"/>
      <c r="J1046" s="60"/>
      <c r="K1046" s="60"/>
      <c r="L1046" s="142"/>
      <c r="M1046" s="60"/>
      <c r="N1046" s="142"/>
      <c r="O1046" s="60">
        <f>O1047</f>
        <v>299400</v>
      </c>
      <c r="P1046" s="142"/>
      <c r="Q1046" s="60">
        <f>Q1047</f>
        <v>299400</v>
      </c>
    </row>
    <row r="1047" spans="2:17" ht="33.75" customHeight="1">
      <c r="B1047" s="96" t="s">
        <v>382</v>
      </c>
      <c r="C1047" s="101" t="s">
        <v>200</v>
      </c>
      <c r="D1047" s="101" t="s">
        <v>84</v>
      </c>
      <c r="E1047" s="101" t="s">
        <v>541</v>
      </c>
      <c r="F1047" s="101" t="s">
        <v>328</v>
      </c>
      <c r="G1047" s="60"/>
      <c r="H1047" s="60"/>
      <c r="I1047" s="60"/>
      <c r="J1047" s="60"/>
      <c r="K1047" s="60"/>
      <c r="L1047" s="142"/>
      <c r="M1047" s="60"/>
      <c r="N1047" s="142">
        <f>200200+99200</f>
        <v>299400</v>
      </c>
      <c r="O1047" s="60">
        <f>M1047+N1047</f>
        <v>299400</v>
      </c>
      <c r="P1047" s="142"/>
      <c r="Q1047" s="60">
        <f>O1047+P1047</f>
        <v>299400</v>
      </c>
    </row>
    <row r="1048" spans="2:17" ht="15.75">
      <c r="B1048" s="23" t="s">
        <v>88</v>
      </c>
      <c r="C1048" s="6"/>
      <c r="D1048" s="44" t="s">
        <v>89</v>
      </c>
      <c r="E1048" s="6"/>
      <c r="F1048" s="6"/>
      <c r="G1048" s="60" t="e">
        <f>SUM(G1049+G1056+G1058+G1064+#REF!)</f>
        <v>#REF!</v>
      </c>
      <c r="H1048" s="118"/>
      <c r="I1048" s="60">
        <f>SUM(I1049+I1056+I1058+I1064)</f>
        <v>14247105</v>
      </c>
      <c r="J1048" s="118"/>
      <c r="K1048" s="60">
        <f>SUM(K1049+K1056+K1058+K1064)</f>
        <v>15215492</v>
      </c>
      <c r="L1048" s="141"/>
      <c r="M1048" s="60">
        <f>SUM(M1049+M1056+M1058+M1064+M1088)</f>
        <v>16080661</v>
      </c>
      <c r="N1048" s="141"/>
      <c r="O1048" s="60">
        <f>SUM(O1049+O1056+O1058+O1064+O1088)</f>
        <v>20866661.13</v>
      </c>
      <c r="P1048" s="141"/>
      <c r="Q1048" s="60">
        <f>SUM(Q1049+Q1056+Q1058+Q1064+Q1088)</f>
        <v>21066661.13</v>
      </c>
    </row>
    <row r="1049" spans="2:17" ht="63">
      <c r="B1049" s="12" t="s">
        <v>118</v>
      </c>
      <c r="C1049" s="6"/>
      <c r="D1049" s="44" t="s">
        <v>89</v>
      </c>
      <c r="E1049" s="6" t="s">
        <v>119</v>
      </c>
      <c r="F1049" s="6"/>
      <c r="G1049" s="60">
        <f>G1050+G1051+G1052+G1053+G1054+G1055</f>
        <v>0</v>
      </c>
      <c r="H1049" s="118"/>
      <c r="I1049" s="60">
        <f>I1050+I1051+I1052+I1053+I1054+I1055</f>
        <v>2580900</v>
      </c>
      <c r="J1049" s="118"/>
      <c r="K1049" s="60">
        <f>K1050+K1051+K1052+K1053+K1054+K1055</f>
        <v>2580900</v>
      </c>
      <c r="L1049" s="141"/>
      <c r="M1049" s="60">
        <f>M1050+M1051+M1052+M1053+M1054+M1055</f>
        <v>2580900</v>
      </c>
      <c r="N1049" s="141"/>
      <c r="O1049" s="60">
        <f>O1050+O1051+O1052+O1053+O1054+O1055</f>
        <v>2590900</v>
      </c>
      <c r="P1049" s="141"/>
      <c r="Q1049" s="60">
        <f>Q1050+Q1051+Q1052+Q1053+Q1054+Q1055</f>
        <v>2590900</v>
      </c>
    </row>
    <row r="1050" spans="2:17" ht="16.5" customHeight="1">
      <c r="B1050" s="31" t="s">
        <v>320</v>
      </c>
      <c r="C1050" s="6"/>
      <c r="D1050" s="8" t="s">
        <v>89</v>
      </c>
      <c r="E1050" s="8" t="s">
        <v>120</v>
      </c>
      <c r="F1050" s="6" t="s">
        <v>325</v>
      </c>
      <c r="G1050" s="79">
        <v>0</v>
      </c>
      <c r="H1050" s="118">
        <v>487939</v>
      </c>
      <c r="I1050" s="79">
        <f aca="true" t="shared" si="49" ref="I1050:K1055">G1050+H1050</f>
        <v>487939</v>
      </c>
      <c r="J1050" s="118">
        <v>0</v>
      </c>
      <c r="K1050" s="79">
        <f t="shared" si="49"/>
        <v>487939</v>
      </c>
      <c r="L1050" s="141"/>
      <c r="M1050" s="79">
        <f aca="true" t="shared" si="50" ref="M1050:O1055">K1050+L1050</f>
        <v>487939</v>
      </c>
      <c r="N1050" s="141"/>
      <c r="O1050" s="79">
        <f t="shared" si="50"/>
        <v>487939</v>
      </c>
      <c r="P1050" s="141"/>
      <c r="Q1050" s="79">
        <f aca="true" t="shared" si="51" ref="Q1050:Q1055">O1050+P1050</f>
        <v>487939</v>
      </c>
    </row>
    <row r="1051" spans="2:17" ht="34.5" customHeight="1">
      <c r="B1051" s="31" t="s">
        <v>321</v>
      </c>
      <c r="C1051" s="6"/>
      <c r="D1051" s="8" t="s">
        <v>89</v>
      </c>
      <c r="E1051" s="8" t="s">
        <v>120</v>
      </c>
      <c r="F1051" s="6" t="s">
        <v>326</v>
      </c>
      <c r="G1051" s="79">
        <v>0</v>
      </c>
      <c r="H1051" s="118">
        <v>7200</v>
      </c>
      <c r="I1051" s="79">
        <f t="shared" si="49"/>
        <v>7200</v>
      </c>
      <c r="J1051" s="118">
        <v>0</v>
      </c>
      <c r="K1051" s="79">
        <f t="shared" si="49"/>
        <v>7200</v>
      </c>
      <c r="L1051" s="141"/>
      <c r="M1051" s="79">
        <f t="shared" si="50"/>
        <v>7200</v>
      </c>
      <c r="N1051" s="141"/>
      <c r="O1051" s="79">
        <f t="shared" si="50"/>
        <v>7200</v>
      </c>
      <c r="P1051" s="141"/>
      <c r="Q1051" s="79">
        <f t="shared" si="51"/>
        <v>7200</v>
      </c>
    </row>
    <row r="1052" spans="2:17" ht="17.25" customHeight="1">
      <c r="B1052" s="31" t="s">
        <v>320</v>
      </c>
      <c r="C1052" s="6"/>
      <c r="D1052" s="8" t="s">
        <v>89</v>
      </c>
      <c r="E1052" s="8" t="s">
        <v>120</v>
      </c>
      <c r="F1052" s="8" t="s">
        <v>353</v>
      </c>
      <c r="G1052" s="79">
        <v>0</v>
      </c>
      <c r="H1052" s="118">
        <v>1712519</v>
      </c>
      <c r="I1052" s="79">
        <f t="shared" si="49"/>
        <v>1712519</v>
      </c>
      <c r="J1052" s="118">
        <v>0</v>
      </c>
      <c r="K1052" s="79">
        <f t="shared" si="49"/>
        <v>1712519</v>
      </c>
      <c r="L1052" s="141"/>
      <c r="M1052" s="79">
        <f t="shared" si="50"/>
        <v>1712519</v>
      </c>
      <c r="N1052" s="141"/>
      <c r="O1052" s="79">
        <f t="shared" si="50"/>
        <v>1712519</v>
      </c>
      <c r="P1052" s="141"/>
      <c r="Q1052" s="79">
        <f t="shared" si="51"/>
        <v>1712519</v>
      </c>
    </row>
    <row r="1053" spans="2:17" ht="31.5">
      <c r="B1053" s="31" t="s">
        <v>321</v>
      </c>
      <c r="C1053" s="6"/>
      <c r="D1053" s="8" t="s">
        <v>89</v>
      </c>
      <c r="E1053" s="8" t="s">
        <v>120</v>
      </c>
      <c r="F1053" s="8" t="s">
        <v>354</v>
      </c>
      <c r="G1053" s="79">
        <v>0</v>
      </c>
      <c r="H1053" s="118">
        <v>11000</v>
      </c>
      <c r="I1053" s="79">
        <f t="shared" si="49"/>
        <v>11000</v>
      </c>
      <c r="J1053" s="118">
        <v>0</v>
      </c>
      <c r="K1053" s="79">
        <f t="shared" si="49"/>
        <v>11000</v>
      </c>
      <c r="L1053" s="141"/>
      <c r="M1053" s="79">
        <f t="shared" si="50"/>
        <v>11000</v>
      </c>
      <c r="N1053" s="141"/>
      <c r="O1053" s="79">
        <f t="shared" si="50"/>
        <v>11000</v>
      </c>
      <c r="P1053" s="141"/>
      <c r="Q1053" s="79">
        <f t="shared" si="51"/>
        <v>11000</v>
      </c>
    </row>
    <row r="1054" spans="2:17" ht="47.25">
      <c r="B1054" s="31" t="s">
        <v>322</v>
      </c>
      <c r="C1054" s="6"/>
      <c r="D1054" s="8" t="s">
        <v>89</v>
      </c>
      <c r="E1054" s="8" t="s">
        <v>120</v>
      </c>
      <c r="F1054" s="8" t="s">
        <v>327</v>
      </c>
      <c r="G1054" s="79">
        <v>0</v>
      </c>
      <c r="H1054" s="118">
        <v>62238</v>
      </c>
      <c r="I1054" s="79">
        <f t="shared" si="49"/>
        <v>62238</v>
      </c>
      <c r="J1054" s="118">
        <v>0</v>
      </c>
      <c r="K1054" s="79">
        <f t="shared" si="49"/>
        <v>62238</v>
      </c>
      <c r="L1054" s="141"/>
      <c r="M1054" s="79">
        <f t="shared" si="50"/>
        <v>62238</v>
      </c>
      <c r="N1054" s="141"/>
      <c r="O1054" s="79">
        <f t="shared" si="50"/>
        <v>62238</v>
      </c>
      <c r="P1054" s="141"/>
      <c r="Q1054" s="79">
        <f t="shared" si="51"/>
        <v>62238</v>
      </c>
    </row>
    <row r="1055" spans="2:17" ht="35.25" customHeight="1">
      <c r="B1055" s="31" t="s">
        <v>382</v>
      </c>
      <c r="C1055" s="6"/>
      <c r="D1055" s="8" t="s">
        <v>89</v>
      </c>
      <c r="E1055" s="8" t="s">
        <v>120</v>
      </c>
      <c r="F1055" s="8" t="s">
        <v>328</v>
      </c>
      <c r="G1055" s="79">
        <v>0</v>
      </c>
      <c r="H1055" s="118">
        <v>300004</v>
      </c>
      <c r="I1055" s="79">
        <f t="shared" si="49"/>
        <v>300004</v>
      </c>
      <c r="J1055" s="118">
        <v>0</v>
      </c>
      <c r="K1055" s="79">
        <f t="shared" si="49"/>
        <v>300004</v>
      </c>
      <c r="L1055" s="141"/>
      <c r="M1055" s="79">
        <f t="shared" si="50"/>
        <v>300004</v>
      </c>
      <c r="N1055" s="141">
        <v>10000</v>
      </c>
      <c r="O1055" s="79">
        <f t="shared" si="50"/>
        <v>310004</v>
      </c>
      <c r="P1055" s="141"/>
      <c r="Q1055" s="79">
        <f t="shared" si="51"/>
        <v>310004</v>
      </c>
    </row>
    <row r="1056" spans="2:17" ht="15.75" customHeight="1">
      <c r="B1056" s="12" t="s">
        <v>126</v>
      </c>
      <c r="C1056" s="6"/>
      <c r="D1056" s="44" t="s">
        <v>89</v>
      </c>
      <c r="E1056" s="6" t="s">
        <v>127</v>
      </c>
      <c r="F1056" s="6"/>
      <c r="G1056" s="60">
        <f>G1057</f>
        <v>0</v>
      </c>
      <c r="H1056" s="118"/>
      <c r="I1056" s="60">
        <f>I1057</f>
        <v>350000</v>
      </c>
      <c r="J1056" s="118"/>
      <c r="K1056" s="60">
        <f>K1057</f>
        <v>350000</v>
      </c>
      <c r="L1056" s="141"/>
      <c r="M1056" s="60">
        <f>M1057</f>
        <v>350000</v>
      </c>
      <c r="N1056" s="141"/>
      <c r="O1056" s="60">
        <f>O1057</f>
        <v>350000</v>
      </c>
      <c r="P1056" s="141"/>
      <c r="Q1056" s="60">
        <f>Q1057</f>
        <v>350000</v>
      </c>
    </row>
    <row r="1057" spans="2:17" ht="18" customHeight="1">
      <c r="B1057" s="31" t="s">
        <v>334</v>
      </c>
      <c r="C1057" s="6"/>
      <c r="D1057" s="44" t="s">
        <v>89</v>
      </c>
      <c r="E1057" s="6" t="s">
        <v>128</v>
      </c>
      <c r="F1057" s="6" t="s">
        <v>335</v>
      </c>
      <c r="G1057" s="60">
        <v>0</v>
      </c>
      <c r="H1057" s="118">
        <v>350000</v>
      </c>
      <c r="I1057" s="60">
        <f>G1057+H1057</f>
        <v>350000</v>
      </c>
      <c r="J1057" s="118">
        <v>0</v>
      </c>
      <c r="K1057" s="60">
        <f>I1057+J1057</f>
        <v>350000</v>
      </c>
      <c r="L1057" s="141"/>
      <c r="M1057" s="60">
        <f>K1057+L1057</f>
        <v>350000</v>
      </c>
      <c r="N1057" s="141"/>
      <c r="O1057" s="60">
        <f>M1057+N1057</f>
        <v>350000</v>
      </c>
      <c r="P1057" s="141"/>
      <c r="Q1057" s="60">
        <f>O1057+P1057</f>
        <v>350000</v>
      </c>
    </row>
    <row r="1058" spans="2:17" ht="80.25" customHeight="1">
      <c r="B1058" s="12" t="s">
        <v>129</v>
      </c>
      <c r="C1058" s="6"/>
      <c r="D1058" s="44" t="s">
        <v>89</v>
      </c>
      <c r="E1058" s="6">
        <v>4520000</v>
      </c>
      <c r="F1058" s="6"/>
      <c r="G1058" s="60" t="e">
        <f>G1059+G1060+G1061+G1062+#REF!</f>
        <v>#REF!</v>
      </c>
      <c r="H1058" s="118"/>
      <c r="I1058" s="60">
        <f>I1059+I1060+I1061+I1062</f>
        <v>5247185</v>
      </c>
      <c r="J1058" s="118"/>
      <c r="K1058" s="60">
        <f>K1059+K1060+K1061+K1062</f>
        <v>5247185</v>
      </c>
      <c r="L1058" s="141"/>
      <c r="M1058" s="60">
        <f>M1059+M1060+M1061+M1062+M1063</f>
        <v>5247185</v>
      </c>
      <c r="N1058" s="141"/>
      <c r="O1058" s="60">
        <f>O1059+O1060+O1061+O1062+O1063</f>
        <v>5247185</v>
      </c>
      <c r="P1058" s="141"/>
      <c r="Q1058" s="60">
        <f>Q1059+Q1060+Q1061+Q1062+Q1063</f>
        <v>5247185</v>
      </c>
    </row>
    <row r="1059" spans="2:17" ht="15.75">
      <c r="B1059" s="31" t="s">
        <v>320</v>
      </c>
      <c r="C1059" s="44"/>
      <c r="D1059" s="8" t="s">
        <v>89</v>
      </c>
      <c r="E1059" s="8" t="s">
        <v>121</v>
      </c>
      <c r="F1059" s="8" t="s">
        <v>325</v>
      </c>
      <c r="G1059" s="79">
        <v>0</v>
      </c>
      <c r="H1059" s="120">
        <v>4187391</v>
      </c>
      <c r="I1059" s="79">
        <f>G1059+H1059</f>
        <v>4187391</v>
      </c>
      <c r="J1059" s="120">
        <v>0</v>
      </c>
      <c r="K1059" s="79">
        <f>I1059+J1059</f>
        <v>4187391</v>
      </c>
      <c r="L1059" s="145"/>
      <c r="M1059" s="79">
        <f>K1059+L1059</f>
        <v>4187391</v>
      </c>
      <c r="N1059" s="145"/>
      <c r="O1059" s="79">
        <f>M1059+N1059</f>
        <v>4187391</v>
      </c>
      <c r="P1059" s="145"/>
      <c r="Q1059" s="79">
        <f>O1059+P1059</f>
        <v>4187391</v>
      </c>
    </row>
    <row r="1060" spans="2:17" ht="31.5">
      <c r="B1060" s="31" t="s">
        <v>321</v>
      </c>
      <c r="C1060" s="44"/>
      <c r="D1060" s="8" t="s">
        <v>89</v>
      </c>
      <c r="E1060" s="8">
        <v>4520000</v>
      </c>
      <c r="F1060" s="8" t="s">
        <v>326</v>
      </c>
      <c r="G1060" s="79">
        <v>0</v>
      </c>
      <c r="H1060" s="120">
        <v>19000</v>
      </c>
      <c r="I1060" s="79">
        <f>G1060+H1060</f>
        <v>19000</v>
      </c>
      <c r="J1060" s="120">
        <v>0</v>
      </c>
      <c r="K1060" s="79">
        <f>I1060+J1060</f>
        <v>19000</v>
      </c>
      <c r="L1060" s="145"/>
      <c r="M1060" s="79">
        <f>K1060+L1060</f>
        <v>19000</v>
      </c>
      <c r="N1060" s="145"/>
      <c r="O1060" s="79">
        <f>M1060+N1060</f>
        <v>19000</v>
      </c>
      <c r="P1060" s="145"/>
      <c r="Q1060" s="79">
        <f>O1060+P1060</f>
        <v>19000</v>
      </c>
    </row>
    <row r="1061" spans="2:17" ht="47.25">
      <c r="B1061" s="31" t="s">
        <v>322</v>
      </c>
      <c r="C1061" s="44"/>
      <c r="D1061" s="8" t="s">
        <v>89</v>
      </c>
      <c r="E1061" s="8" t="s">
        <v>121</v>
      </c>
      <c r="F1061" s="8" t="s">
        <v>327</v>
      </c>
      <c r="G1061" s="79">
        <v>0</v>
      </c>
      <c r="H1061" s="120">
        <v>432052</v>
      </c>
      <c r="I1061" s="79">
        <f>G1061+H1061</f>
        <v>432052</v>
      </c>
      <c r="J1061" s="120">
        <v>0</v>
      </c>
      <c r="K1061" s="79">
        <f>I1061+J1061</f>
        <v>432052</v>
      </c>
      <c r="L1061" s="145"/>
      <c r="M1061" s="79">
        <f>K1061+L1061</f>
        <v>432052</v>
      </c>
      <c r="N1061" s="145">
        <v>-407</v>
      </c>
      <c r="O1061" s="79">
        <f>M1061+N1061</f>
        <v>431645</v>
      </c>
      <c r="P1061" s="145"/>
      <c r="Q1061" s="79">
        <f>O1061+P1061</f>
        <v>431645</v>
      </c>
    </row>
    <row r="1062" spans="2:17" ht="31.5">
      <c r="B1062" s="31" t="s">
        <v>382</v>
      </c>
      <c r="C1062" s="44"/>
      <c r="D1062" s="8" t="s">
        <v>89</v>
      </c>
      <c r="E1062" s="8">
        <v>4520000</v>
      </c>
      <c r="F1062" s="8" t="s">
        <v>328</v>
      </c>
      <c r="G1062" s="79">
        <v>0</v>
      </c>
      <c r="H1062" s="120">
        <v>608742</v>
      </c>
      <c r="I1062" s="79">
        <f>G1062+H1062</f>
        <v>608742</v>
      </c>
      <c r="J1062" s="120">
        <v>0</v>
      </c>
      <c r="K1062" s="79">
        <f>I1062+J1062</f>
        <v>608742</v>
      </c>
      <c r="L1062" s="145">
        <v>-16500</v>
      </c>
      <c r="M1062" s="79">
        <f>K1062+L1062</f>
        <v>592242</v>
      </c>
      <c r="N1062" s="145">
        <v>407</v>
      </c>
      <c r="O1062" s="79">
        <f>M1062+N1062</f>
        <v>592649</v>
      </c>
      <c r="P1062" s="145"/>
      <c r="Q1062" s="79">
        <f>O1062+P1062</f>
        <v>592649</v>
      </c>
    </row>
    <row r="1063" spans="2:17" ht="31.5">
      <c r="B1063" s="96" t="s">
        <v>324</v>
      </c>
      <c r="C1063" s="44"/>
      <c r="D1063" s="97" t="s">
        <v>89</v>
      </c>
      <c r="E1063" s="97" t="s">
        <v>121</v>
      </c>
      <c r="F1063" s="97" t="s">
        <v>329</v>
      </c>
      <c r="G1063" s="79"/>
      <c r="H1063" s="120"/>
      <c r="I1063" s="79"/>
      <c r="J1063" s="120"/>
      <c r="K1063" s="79"/>
      <c r="L1063" s="145">
        <v>16500</v>
      </c>
      <c r="M1063" s="79">
        <f>L1063+K1063</f>
        <v>16500</v>
      </c>
      <c r="N1063" s="145">
        <v>0</v>
      </c>
      <c r="O1063" s="79">
        <f>N1063+M1063</f>
        <v>16500</v>
      </c>
      <c r="P1063" s="145"/>
      <c r="Q1063" s="79">
        <f>P1063+O1063</f>
        <v>16500</v>
      </c>
    </row>
    <row r="1064" spans="2:17" ht="15.75">
      <c r="B1064" s="23" t="s">
        <v>313</v>
      </c>
      <c r="C1064" s="44"/>
      <c r="D1064" s="44" t="s">
        <v>89</v>
      </c>
      <c r="E1064" s="44" t="s">
        <v>104</v>
      </c>
      <c r="F1064" s="44"/>
      <c r="G1064" s="79" t="e">
        <f>G1065+G1067+G1069+G1078+G1081+#REF!+G1085</f>
        <v>#REF!</v>
      </c>
      <c r="H1064" s="120"/>
      <c r="I1064" s="79">
        <f>I1065+I1067+I1069+I1078+I1081+I1085+I1076</f>
        <v>6069020</v>
      </c>
      <c r="J1064" s="120">
        <v>0</v>
      </c>
      <c r="K1064" s="79">
        <f>K1065+K1067+K1069+K1078+K1081+K1085+K1076+K1071</f>
        <v>7037407</v>
      </c>
      <c r="L1064" s="145"/>
      <c r="M1064" s="79">
        <f>M1065+M1067+M1069+M1078+M1081+M1085+M1076+M1071</f>
        <v>7680334</v>
      </c>
      <c r="N1064" s="145"/>
      <c r="O1064" s="79">
        <f>O1065+O1067+O1069+O1078+O1081+O1085+O1076+O1071+O1083</f>
        <v>12456334.129999999</v>
      </c>
      <c r="P1064" s="145"/>
      <c r="Q1064" s="79">
        <f>Q1065+Q1067+Q1069+Q1078+Q1081+Q1085+Q1076+Q1071+Q1083</f>
        <v>12656334.129999999</v>
      </c>
    </row>
    <row r="1065" spans="2:17" ht="15.75">
      <c r="B1065" s="109" t="s">
        <v>460</v>
      </c>
      <c r="C1065" s="44"/>
      <c r="D1065" s="6" t="s">
        <v>89</v>
      </c>
      <c r="E1065" s="6" t="s">
        <v>356</v>
      </c>
      <c r="F1065" s="6"/>
      <c r="G1065" s="79">
        <f>G1066</f>
        <v>0</v>
      </c>
      <c r="H1065" s="120"/>
      <c r="I1065" s="79">
        <f>I1066</f>
        <v>300000</v>
      </c>
      <c r="J1065" s="120"/>
      <c r="K1065" s="79">
        <f>K1066</f>
        <v>300000</v>
      </c>
      <c r="L1065" s="145"/>
      <c r="M1065" s="79">
        <f>M1066</f>
        <v>300000</v>
      </c>
      <c r="N1065" s="145"/>
      <c r="O1065" s="79">
        <f>O1066</f>
        <v>300000</v>
      </c>
      <c r="P1065" s="145"/>
      <c r="Q1065" s="79">
        <f>Q1066</f>
        <v>300000</v>
      </c>
    </row>
    <row r="1066" spans="2:17" ht="30.75" customHeight="1">
      <c r="B1066" s="31" t="s">
        <v>382</v>
      </c>
      <c r="C1066" s="44"/>
      <c r="D1066" s="6" t="s">
        <v>89</v>
      </c>
      <c r="E1066" s="6" t="s">
        <v>356</v>
      </c>
      <c r="F1066" s="6" t="s">
        <v>328</v>
      </c>
      <c r="G1066" s="79">
        <v>0</v>
      </c>
      <c r="H1066" s="120">
        <v>300000</v>
      </c>
      <c r="I1066" s="79">
        <f>H1066+G1066</f>
        <v>300000</v>
      </c>
      <c r="J1066" s="120">
        <v>0</v>
      </c>
      <c r="K1066" s="79">
        <f>J1066+I1066</f>
        <v>300000</v>
      </c>
      <c r="L1066" s="145"/>
      <c r="M1066" s="79">
        <f>L1066+K1066</f>
        <v>300000</v>
      </c>
      <c r="N1066" s="145"/>
      <c r="O1066" s="79">
        <f>N1066+M1066</f>
        <v>300000</v>
      </c>
      <c r="P1066" s="145"/>
      <c r="Q1066" s="79">
        <f>P1066+O1066</f>
        <v>300000</v>
      </c>
    </row>
    <row r="1067" spans="2:17" ht="68.25" customHeight="1" hidden="1">
      <c r="B1067" s="23" t="s">
        <v>314</v>
      </c>
      <c r="C1067" s="44"/>
      <c r="D1067" s="44" t="s">
        <v>89</v>
      </c>
      <c r="E1067" s="44" t="s">
        <v>260</v>
      </c>
      <c r="F1067" s="44"/>
      <c r="G1067" s="60" t="e">
        <f>#REF!+G1068</f>
        <v>#REF!</v>
      </c>
      <c r="H1067" s="120"/>
      <c r="I1067" s="60">
        <f>I1068</f>
        <v>56500</v>
      </c>
      <c r="J1067" s="120"/>
      <c r="K1067" s="60">
        <f>K1068</f>
        <v>0</v>
      </c>
      <c r="L1067" s="145"/>
      <c r="M1067" s="60">
        <f>M1068</f>
        <v>0</v>
      </c>
      <c r="N1067" s="145"/>
      <c r="O1067" s="60">
        <f>O1068</f>
        <v>0</v>
      </c>
      <c r="P1067" s="145"/>
      <c r="Q1067" s="60">
        <f>Q1068</f>
        <v>0</v>
      </c>
    </row>
    <row r="1068" spans="2:17" ht="15.75" hidden="1">
      <c r="B1068" s="31" t="s">
        <v>334</v>
      </c>
      <c r="C1068" s="44"/>
      <c r="D1068" s="6" t="s">
        <v>89</v>
      </c>
      <c r="E1068" s="6" t="s">
        <v>260</v>
      </c>
      <c r="F1068" s="6" t="s">
        <v>335</v>
      </c>
      <c r="G1068" s="79">
        <v>0</v>
      </c>
      <c r="H1068" s="120">
        <v>56500</v>
      </c>
      <c r="I1068" s="79">
        <f>G1068+H1068</f>
        <v>56500</v>
      </c>
      <c r="J1068" s="120">
        <v>-56500</v>
      </c>
      <c r="K1068" s="79">
        <f>I1068+J1068</f>
        <v>0</v>
      </c>
      <c r="L1068" s="145"/>
      <c r="M1068" s="79">
        <f>K1068+L1068</f>
        <v>0</v>
      </c>
      <c r="N1068" s="145"/>
      <c r="O1068" s="79">
        <f>M1068+N1068</f>
        <v>0</v>
      </c>
      <c r="P1068" s="145"/>
      <c r="Q1068" s="79">
        <f>O1068+P1068</f>
        <v>0</v>
      </c>
    </row>
    <row r="1069" spans="2:17" ht="47.25">
      <c r="B1069" s="100" t="s">
        <v>472</v>
      </c>
      <c r="C1069" s="44"/>
      <c r="D1069" s="44" t="s">
        <v>89</v>
      </c>
      <c r="E1069" s="101" t="s">
        <v>262</v>
      </c>
      <c r="F1069" s="44"/>
      <c r="G1069" s="60" t="e">
        <f>#REF!+G1070</f>
        <v>#REF!</v>
      </c>
      <c r="H1069" s="120"/>
      <c r="I1069" s="60">
        <f>I1070</f>
        <v>130520</v>
      </c>
      <c r="J1069" s="120"/>
      <c r="K1069" s="60">
        <f>K1070</f>
        <v>130520</v>
      </c>
      <c r="L1069" s="145"/>
      <c r="M1069" s="60">
        <f>M1070</f>
        <v>93447</v>
      </c>
      <c r="N1069" s="145"/>
      <c r="O1069" s="60">
        <f>O1070</f>
        <v>95247.13</v>
      </c>
      <c r="P1069" s="145"/>
      <c r="Q1069" s="60">
        <f>Q1070</f>
        <v>95247.13</v>
      </c>
    </row>
    <row r="1070" spans="2:17" ht="47.25">
      <c r="B1070" s="31" t="s">
        <v>322</v>
      </c>
      <c r="C1070" s="44"/>
      <c r="D1070" s="44" t="s">
        <v>89</v>
      </c>
      <c r="E1070" s="101" t="s">
        <v>262</v>
      </c>
      <c r="F1070" s="101" t="s">
        <v>327</v>
      </c>
      <c r="G1070" s="60">
        <v>0</v>
      </c>
      <c r="H1070" s="120">
        <v>130520</v>
      </c>
      <c r="I1070" s="60">
        <f>G1070+H1070</f>
        <v>130520</v>
      </c>
      <c r="J1070" s="120">
        <v>0</v>
      </c>
      <c r="K1070" s="60">
        <f>I1070+J1070</f>
        <v>130520</v>
      </c>
      <c r="L1070" s="145">
        <v>-37073</v>
      </c>
      <c r="M1070" s="60">
        <f>K1070+L1070</f>
        <v>93447</v>
      </c>
      <c r="N1070" s="145">
        <v>1800.13</v>
      </c>
      <c r="O1070" s="60">
        <f>M1070+N1070</f>
        <v>95247.13</v>
      </c>
      <c r="P1070" s="145"/>
      <c r="Q1070" s="60">
        <f>O1070+P1070</f>
        <v>95247.13</v>
      </c>
    </row>
    <row r="1071" spans="2:17" ht="63">
      <c r="B1071" s="99" t="s">
        <v>571</v>
      </c>
      <c r="C1071" s="44"/>
      <c r="D1071" s="101" t="s">
        <v>89</v>
      </c>
      <c r="E1071" s="101" t="s">
        <v>473</v>
      </c>
      <c r="F1071" s="44"/>
      <c r="G1071" s="79"/>
      <c r="H1071" s="120"/>
      <c r="I1071" s="79">
        <f>I1072</f>
        <v>0</v>
      </c>
      <c r="J1071" s="120"/>
      <c r="K1071" s="79">
        <f>K1072</f>
        <v>1024887</v>
      </c>
      <c r="L1071" s="145"/>
      <c r="M1071" s="79">
        <f>M1072+M1075</f>
        <v>1219887</v>
      </c>
      <c r="N1071" s="145"/>
      <c r="O1071" s="79">
        <f>O1072+O1075+O1073+O1074</f>
        <v>5939887</v>
      </c>
      <c r="P1071" s="145"/>
      <c r="Q1071" s="79">
        <f>Q1072+Q1075+Q1073+Q1074</f>
        <v>6139887</v>
      </c>
    </row>
    <row r="1072" spans="2:17" ht="37.5" customHeight="1">
      <c r="B1072" s="96" t="s">
        <v>382</v>
      </c>
      <c r="C1072" s="44"/>
      <c r="D1072" s="101" t="s">
        <v>89</v>
      </c>
      <c r="E1072" s="101" t="s">
        <v>473</v>
      </c>
      <c r="F1072" s="101" t="s">
        <v>328</v>
      </c>
      <c r="G1072" s="79"/>
      <c r="H1072" s="120">
        <v>232000</v>
      </c>
      <c r="I1072" s="79">
        <v>0</v>
      </c>
      <c r="J1072" s="120">
        <v>1024887</v>
      </c>
      <c r="K1072" s="79">
        <f>I1072+J1072</f>
        <v>1024887</v>
      </c>
      <c r="L1072" s="145">
        <v>155879</v>
      </c>
      <c r="M1072" s="79">
        <f>K1072+L1072</f>
        <v>1180766</v>
      </c>
      <c r="N1072" s="176">
        <v>-1000000</v>
      </c>
      <c r="O1072" s="79">
        <f>M1072+N1072</f>
        <v>180766</v>
      </c>
      <c r="P1072" s="176"/>
      <c r="Q1072" s="79">
        <f>O1072+P1072</f>
        <v>180766</v>
      </c>
    </row>
    <row r="1073" spans="2:17" ht="47.25">
      <c r="B1073" s="96" t="s">
        <v>549</v>
      </c>
      <c r="C1073" s="44"/>
      <c r="D1073" s="101" t="s">
        <v>89</v>
      </c>
      <c r="E1073" s="101" t="s">
        <v>473</v>
      </c>
      <c r="F1073" s="101" t="s">
        <v>383</v>
      </c>
      <c r="G1073" s="79"/>
      <c r="H1073" s="120"/>
      <c r="I1073" s="79"/>
      <c r="J1073" s="120"/>
      <c r="K1073" s="79"/>
      <c r="L1073" s="145"/>
      <c r="M1073" s="79"/>
      <c r="N1073" s="176">
        <v>3720000</v>
      </c>
      <c r="O1073" s="79">
        <f>N1073+M1073</f>
        <v>3720000</v>
      </c>
      <c r="P1073" s="176"/>
      <c r="Q1073" s="79">
        <f>P1073+O1073</f>
        <v>3720000</v>
      </c>
    </row>
    <row r="1074" spans="2:17" ht="47.25">
      <c r="B1074" s="96" t="s">
        <v>550</v>
      </c>
      <c r="C1074" s="44"/>
      <c r="D1074" s="101" t="s">
        <v>89</v>
      </c>
      <c r="E1074" s="101" t="s">
        <v>473</v>
      </c>
      <c r="F1074" s="101" t="s">
        <v>544</v>
      </c>
      <c r="G1074" s="79"/>
      <c r="H1074" s="120"/>
      <c r="I1074" s="79"/>
      <c r="J1074" s="120"/>
      <c r="K1074" s="79"/>
      <c r="L1074" s="145"/>
      <c r="M1074" s="79"/>
      <c r="N1074" s="176">
        <v>2000000</v>
      </c>
      <c r="O1074" s="79">
        <f>N1074+M1074</f>
        <v>2000000</v>
      </c>
      <c r="P1074" s="176"/>
      <c r="Q1074" s="79">
        <f>P1074+O1074</f>
        <v>2000000</v>
      </c>
    </row>
    <row r="1075" spans="2:17" ht="37.5" customHeight="1">
      <c r="B1075" s="31" t="s">
        <v>351</v>
      </c>
      <c r="C1075" s="44"/>
      <c r="D1075" s="101" t="s">
        <v>89</v>
      </c>
      <c r="E1075" s="101" t="s">
        <v>473</v>
      </c>
      <c r="F1075" s="101" t="s">
        <v>352</v>
      </c>
      <c r="G1075" s="79"/>
      <c r="H1075" s="120"/>
      <c r="I1075" s="79"/>
      <c r="J1075" s="120"/>
      <c r="K1075" s="79"/>
      <c r="L1075" s="145">
        <v>39121</v>
      </c>
      <c r="M1075" s="79">
        <f>K1075+L1075</f>
        <v>39121</v>
      </c>
      <c r="N1075" s="145"/>
      <c r="O1075" s="79">
        <f>M1075+N1075</f>
        <v>39121</v>
      </c>
      <c r="P1075" s="145">
        <v>200000</v>
      </c>
      <c r="Q1075" s="79">
        <f>O1075+P1075</f>
        <v>239121</v>
      </c>
    </row>
    <row r="1076" spans="2:17" ht="96" customHeight="1">
      <c r="B1076" s="99" t="s">
        <v>572</v>
      </c>
      <c r="C1076" s="44"/>
      <c r="D1076" s="101" t="s">
        <v>89</v>
      </c>
      <c r="E1076" s="101" t="s">
        <v>268</v>
      </c>
      <c r="F1076" s="44"/>
      <c r="G1076" s="79"/>
      <c r="H1076" s="120"/>
      <c r="I1076" s="79">
        <f>I1077</f>
        <v>232000</v>
      </c>
      <c r="J1076" s="120"/>
      <c r="K1076" s="79">
        <f>K1077</f>
        <v>232000</v>
      </c>
      <c r="L1076" s="145"/>
      <c r="M1076" s="79">
        <f>M1077</f>
        <v>232000</v>
      </c>
      <c r="N1076" s="145"/>
      <c r="O1076" s="79">
        <f>O1077</f>
        <v>232000</v>
      </c>
      <c r="P1076" s="145"/>
      <c r="Q1076" s="79">
        <f>Q1077</f>
        <v>232000</v>
      </c>
    </row>
    <row r="1077" spans="2:17" ht="37.5" customHeight="1">
      <c r="B1077" s="96" t="s">
        <v>382</v>
      </c>
      <c r="C1077" s="44"/>
      <c r="D1077" s="101" t="s">
        <v>89</v>
      </c>
      <c r="E1077" s="101" t="s">
        <v>268</v>
      </c>
      <c r="F1077" s="101" t="s">
        <v>328</v>
      </c>
      <c r="G1077" s="79"/>
      <c r="H1077" s="120">
        <v>232000</v>
      </c>
      <c r="I1077" s="79">
        <f>H1077</f>
        <v>232000</v>
      </c>
      <c r="J1077" s="120">
        <v>0</v>
      </c>
      <c r="K1077" s="79">
        <f>I1077+J1077</f>
        <v>232000</v>
      </c>
      <c r="L1077" s="145"/>
      <c r="M1077" s="79">
        <f>K1077+L1077</f>
        <v>232000</v>
      </c>
      <c r="N1077" s="145"/>
      <c r="O1077" s="79">
        <f>M1077+N1077</f>
        <v>232000</v>
      </c>
      <c r="P1077" s="145"/>
      <c r="Q1077" s="79">
        <f>O1077+P1077</f>
        <v>232000</v>
      </c>
    </row>
    <row r="1078" spans="2:17" ht="65.25" customHeight="1">
      <c r="B1078" s="23" t="s">
        <v>315</v>
      </c>
      <c r="C1078" s="44"/>
      <c r="D1078" s="44" t="s">
        <v>89</v>
      </c>
      <c r="E1078" s="44" t="s">
        <v>269</v>
      </c>
      <c r="F1078" s="44"/>
      <c r="G1078" s="60">
        <f>G1079</f>
        <v>0</v>
      </c>
      <c r="H1078" s="120"/>
      <c r="I1078" s="60">
        <f>I1079</f>
        <v>600000</v>
      </c>
      <c r="J1078" s="120"/>
      <c r="K1078" s="60">
        <f>K1079</f>
        <v>600000</v>
      </c>
      <c r="L1078" s="145"/>
      <c r="M1078" s="60">
        <f>M1079</f>
        <v>600000</v>
      </c>
      <c r="N1078" s="145"/>
      <c r="O1078" s="60">
        <f>O1079+O1080</f>
        <v>600000</v>
      </c>
      <c r="P1078" s="145"/>
      <c r="Q1078" s="60">
        <f>Q1079+Q1080</f>
        <v>600000</v>
      </c>
    </row>
    <row r="1079" spans="2:17" ht="33" customHeight="1">
      <c r="B1079" s="31" t="s">
        <v>382</v>
      </c>
      <c r="C1079" s="44"/>
      <c r="D1079" s="44" t="s">
        <v>89</v>
      </c>
      <c r="E1079" s="44" t="s">
        <v>269</v>
      </c>
      <c r="F1079" s="44" t="s">
        <v>328</v>
      </c>
      <c r="G1079" s="60">
        <v>0</v>
      </c>
      <c r="H1079" s="120">
        <v>600000</v>
      </c>
      <c r="I1079" s="60">
        <f>G1079+H1079</f>
        <v>600000</v>
      </c>
      <c r="J1079" s="120">
        <v>0</v>
      </c>
      <c r="K1079" s="60">
        <f>I1079+J1079</f>
        <v>600000</v>
      </c>
      <c r="L1079" s="145"/>
      <c r="M1079" s="60">
        <f>K1079+L1079</f>
        <v>600000</v>
      </c>
      <c r="N1079" s="145">
        <v>-23750</v>
      </c>
      <c r="O1079" s="60">
        <f>M1079+N1079</f>
        <v>576250</v>
      </c>
      <c r="P1079" s="145"/>
      <c r="Q1079" s="60">
        <f>O1079+P1079</f>
        <v>576250</v>
      </c>
    </row>
    <row r="1080" spans="2:17" ht="33" customHeight="1">
      <c r="B1080" s="96" t="s">
        <v>548</v>
      </c>
      <c r="C1080" s="44"/>
      <c r="D1080" s="44" t="s">
        <v>89</v>
      </c>
      <c r="E1080" s="44" t="s">
        <v>269</v>
      </c>
      <c r="F1080" s="44" t="s">
        <v>547</v>
      </c>
      <c r="G1080" s="60"/>
      <c r="H1080" s="120"/>
      <c r="I1080" s="60"/>
      <c r="J1080" s="120"/>
      <c r="K1080" s="60"/>
      <c r="L1080" s="145"/>
      <c r="M1080" s="60"/>
      <c r="N1080" s="145">
        <v>23750</v>
      </c>
      <c r="O1080" s="60">
        <f>M1080+N1080</f>
        <v>23750</v>
      </c>
      <c r="P1080" s="145"/>
      <c r="Q1080" s="60">
        <f>O1080+P1080</f>
        <v>23750</v>
      </c>
    </row>
    <row r="1081" spans="2:17" ht="66" customHeight="1">
      <c r="B1081" s="23" t="s">
        <v>316</v>
      </c>
      <c r="C1081" s="44"/>
      <c r="D1081" s="44" t="s">
        <v>89</v>
      </c>
      <c r="E1081" s="44" t="s">
        <v>288</v>
      </c>
      <c r="F1081" s="44"/>
      <c r="G1081" s="60" t="e">
        <f>#REF!+G1082</f>
        <v>#REF!</v>
      </c>
      <c r="H1081" s="120"/>
      <c r="I1081" s="60">
        <f>I1082</f>
        <v>1750000</v>
      </c>
      <c r="J1081" s="120"/>
      <c r="K1081" s="60">
        <f>K1082</f>
        <v>1750000</v>
      </c>
      <c r="L1081" s="145"/>
      <c r="M1081" s="60">
        <f>M1082</f>
        <v>1750000</v>
      </c>
      <c r="N1081" s="145"/>
      <c r="O1081" s="60">
        <f>O1082</f>
        <v>1750000</v>
      </c>
      <c r="P1081" s="145"/>
      <c r="Q1081" s="60">
        <f>Q1082</f>
        <v>1750000</v>
      </c>
    </row>
    <row r="1082" spans="2:17" ht="35.25" customHeight="1">
      <c r="B1082" s="31" t="s">
        <v>382</v>
      </c>
      <c r="C1082" s="44"/>
      <c r="D1082" s="44" t="s">
        <v>89</v>
      </c>
      <c r="E1082" s="44" t="s">
        <v>288</v>
      </c>
      <c r="F1082" s="44" t="s">
        <v>328</v>
      </c>
      <c r="G1082" s="79">
        <v>0</v>
      </c>
      <c r="H1082" s="120">
        <v>1750000</v>
      </c>
      <c r="I1082" s="79">
        <f>G1082+H1082</f>
        <v>1750000</v>
      </c>
      <c r="J1082" s="120">
        <v>0</v>
      </c>
      <c r="K1082" s="79">
        <f>I1082+J1082</f>
        <v>1750000</v>
      </c>
      <c r="L1082" s="145"/>
      <c r="M1082" s="79">
        <f>K1082+L1082</f>
        <v>1750000</v>
      </c>
      <c r="N1082" s="145"/>
      <c r="O1082" s="79">
        <f>M1082+N1082</f>
        <v>1750000</v>
      </c>
      <c r="P1082" s="145"/>
      <c r="Q1082" s="79">
        <f>O1082+P1082</f>
        <v>1750000</v>
      </c>
    </row>
    <row r="1083" spans="2:17" s="168" customFormat="1" ht="35.25" customHeight="1">
      <c r="B1083" s="171" t="s">
        <v>536</v>
      </c>
      <c r="C1083" s="6"/>
      <c r="D1083" s="103" t="s">
        <v>89</v>
      </c>
      <c r="E1083" s="103" t="s">
        <v>304</v>
      </c>
      <c r="F1083" s="103"/>
      <c r="G1083" s="172"/>
      <c r="H1083" s="173"/>
      <c r="I1083" s="172"/>
      <c r="J1083" s="173"/>
      <c r="K1083" s="172"/>
      <c r="L1083" s="174"/>
      <c r="M1083" s="172"/>
      <c r="N1083" s="174"/>
      <c r="O1083" s="172">
        <f>O1084</f>
        <v>54200</v>
      </c>
      <c r="P1083" s="174"/>
      <c r="Q1083" s="172">
        <f>Q1084</f>
        <v>54200</v>
      </c>
    </row>
    <row r="1084" spans="2:17" s="168" customFormat="1" ht="35.25" customHeight="1">
      <c r="B1084" s="163" t="s">
        <v>382</v>
      </c>
      <c r="C1084" s="6"/>
      <c r="D1084" s="103" t="s">
        <v>89</v>
      </c>
      <c r="E1084" s="103" t="s">
        <v>304</v>
      </c>
      <c r="F1084" s="103" t="s">
        <v>328</v>
      </c>
      <c r="G1084" s="172"/>
      <c r="H1084" s="173"/>
      <c r="I1084" s="172"/>
      <c r="J1084" s="173"/>
      <c r="K1084" s="172"/>
      <c r="L1084" s="174"/>
      <c r="M1084" s="172"/>
      <c r="N1084" s="174">
        <v>54200</v>
      </c>
      <c r="O1084" s="172">
        <f>M1084+N1084</f>
        <v>54200</v>
      </c>
      <c r="P1084" s="174"/>
      <c r="Q1084" s="172">
        <f>O1084+P1084</f>
        <v>54200</v>
      </c>
    </row>
    <row r="1085" spans="2:17" ht="63">
      <c r="B1085" s="23" t="s">
        <v>396</v>
      </c>
      <c r="C1085" s="44"/>
      <c r="D1085" s="44" t="s">
        <v>89</v>
      </c>
      <c r="E1085" s="44" t="s">
        <v>397</v>
      </c>
      <c r="F1085" s="44"/>
      <c r="G1085" s="79" t="e">
        <f>G1086+#REF!</f>
        <v>#REF!</v>
      </c>
      <c r="H1085" s="120"/>
      <c r="I1085" s="79">
        <f>I1086</f>
        <v>3000000</v>
      </c>
      <c r="J1085" s="120"/>
      <c r="K1085" s="79">
        <f>K1086</f>
        <v>3000000</v>
      </c>
      <c r="L1085" s="145"/>
      <c r="M1085" s="79">
        <f>M1086+M1087</f>
        <v>3485000</v>
      </c>
      <c r="N1085" s="145"/>
      <c r="O1085" s="79">
        <f>O1086+O1087</f>
        <v>3485000</v>
      </c>
      <c r="P1085" s="145"/>
      <c r="Q1085" s="79">
        <f>Q1086+Q1087</f>
        <v>3485000</v>
      </c>
    </row>
    <row r="1086" spans="2:17" ht="32.25" customHeight="1">
      <c r="B1086" s="12" t="s">
        <v>332</v>
      </c>
      <c r="C1086" s="44"/>
      <c r="D1086" s="44" t="s">
        <v>89</v>
      </c>
      <c r="E1086" s="44" t="s">
        <v>397</v>
      </c>
      <c r="F1086" s="44" t="s">
        <v>331</v>
      </c>
      <c r="G1086" s="79">
        <v>0</v>
      </c>
      <c r="H1086" s="120">
        <v>3000000</v>
      </c>
      <c r="I1086" s="79">
        <f>G1086+H1086</f>
        <v>3000000</v>
      </c>
      <c r="J1086" s="120">
        <v>0</v>
      </c>
      <c r="K1086" s="79">
        <f>I1086+J1086</f>
        <v>3000000</v>
      </c>
      <c r="L1086" s="145">
        <v>464164</v>
      </c>
      <c r="M1086" s="79">
        <f>K1086+L1086</f>
        <v>3464164</v>
      </c>
      <c r="N1086" s="145">
        <v>0</v>
      </c>
      <c r="O1086" s="79">
        <f>M1086+N1086</f>
        <v>3464164</v>
      </c>
      <c r="P1086" s="145">
        <v>-29164</v>
      </c>
      <c r="Q1086" s="79">
        <f>O1086+P1086</f>
        <v>3435000</v>
      </c>
    </row>
    <row r="1087" spans="2:17" ht="32.25" customHeight="1">
      <c r="B1087" s="31" t="s">
        <v>351</v>
      </c>
      <c r="C1087" s="44"/>
      <c r="D1087" s="44" t="s">
        <v>89</v>
      </c>
      <c r="E1087" s="44" t="s">
        <v>397</v>
      </c>
      <c r="F1087" s="101" t="s">
        <v>352</v>
      </c>
      <c r="G1087" s="79"/>
      <c r="H1087" s="120"/>
      <c r="I1087" s="79"/>
      <c r="J1087" s="120"/>
      <c r="K1087" s="79"/>
      <c r="L1087" s="145">
        <v>20836</v>
      </c>
      <c r="M1087" s="79">
        <f>K1087+L1087</f>
        <v>20836</v>
      </c>
      <c r="N1087" s="145">
        <v>0</v>
      </c>
      <c r="O1087" s="79">
        <f>M1087+N1087</f>
        <v>20836</v>
      </c>
      <c r="P1087" s="145">
        <v>29164</v>
      </c>
      <c r="Q1087" s="79">
        <f>O1087+P1087</f>
        <v>50000</v>
      </c>
    </row>
    <row r="1088" spans="2:17" ht="32.25" customHeight="1">
      <c r="B1088" s="181" t="s">
        <v>574</v>
      </c>
      <c r="C1088" s="44"/>
      <c r="D1088" s="101" t="s">
        <v>89</v>
      </c>
      <c r="E1088" s="101" t="s">
        <v>298</v>
      </c>
      <c r="F1088" s="101"/>
      <c r="G1088" s="79"/>
      <c r="H1088" s="120"/>
      <c r="I1088" s="79"/>
      <c r="J1088" s="120"/>
      <c r="K1088" s="79"/>
      <c r="L1088" s="145"/>
      <c r="M1088" s="79">
        <f>M1089</f>
        <v>222242</v>
      </c>
      <c r="N1088" s="145"/>
      <c r="O1088" s="79">
        <f>O1089</f>
        <v>222242</v>
      </c>
      <c r="P1088" s="145"/>
      <c r="Q1088" s="79">
        <f>Q1089</f>
        <v>222242</v>
      </c>
    </row>
    <row r="1089" spans="2:17" ht="47.25">
      <c r="B1089" s="96" t="s">
        <v>322</v>
      </c>
      <c r="C1089" s="44"/>
      <c r="D1089" s="101" t="s">
        <v>89</v>
      </c>
      <c r="E1089" s="101" t="s">
        <v>298</v>
      </c>
      <c r="F1089" s="101" t="s">
        <v>327</v>
      </c>
      <c r="G1089" s="79"/>
      <c r="H1089" s="120"/>
      <c r="I1089" s="79"/>
      <c r="J1089" s="120"/>
      <c r="K1089" s="79"/>
      <c r="L1089" s="145">
        <v>222242</v>
      </c>
      <c r="M1089" s="79">
        <f>K1089+L1089</f>
        <v>222242</v>
      </c>
      <c r="N1089" s="145">
        <v>0</v>
      </c>
      <c r="O1089" s="79">
        <f>M1089+N1089</f>
        <v>222242</v>
      </c>
      <c r="P1089" s="145"/>
      <c r="Q1089" s="79">
        <f>O1089+P1089</f>
        <v>222242</v>
      </c>
    </row>
    <row r="1090" spans="2:17" ht="18.75" customHeight="1">
      <c r="B1090" s="84" t="s">
        <v>223</v>
      </c>
      <c r="C1090" s="44" t="s">
        <v>90</v>
      </c>
      <c r="D1090" s="47" t="s">
        <v>90</v>
      </c>
      <c r="E1090" s="44"/>
      <c r="F1090" s="44"/>
      <c r="G1090" s="60" t="e">
        <f>G1091+G1131</f>
        <v>#REF!</v>
      </c>
      <c r="H1090" s="40"/>
      <c r="I1090" s="60" t="e">
        <f>I1091+I1131</f>
        <v>#REF!</v>
      </c>
      <c r="J1090" s="40"/>
      <c r="K1090" s="60" t="e">
        <f>K1091+K1131</f>
        <v>#REF!</v>
      </c>
      <c r="L1090" s="135"/>
      <c r="M1090" s="60">
        <f>M1091+M1131</f>
        <v>56930625.5</v>
      </c>
      <c r="N1090" s="135"/>
      <c r="O1090" s="60">
        <f>O1091+O1131</f>
        <v>69196128.57</v>
      </c>
      <c r="P1090" s="135"/>
      <c r="Q1090" s="60">
        <f>Q1091+Q1131</f>
        <v>85118128.57</v>
      </c>
    </row>
    <row r="1091" spans="2:17" ht="17.25" customHeight="1">
      <c r="B1091" s="12" t="s">
        <v>91</v>
      </c>
      <c r="C1091" s="6"/>
      <c r="D1091" s="44" t="s">
        <v>92</v>
      </c>
      <c r="E1091" s="6"/>
      <c r="F1091" s="6"/>
      <c r="G1091" s="60" t="e">
        <f>SUM(G1092+G1110+G1116+#REF!+G1107+G1120+G1122+G1124+G1128)</f>
        <v>#REF!</v>
      </c>
      <c r="H1091" s="3"/>
      <c r="I1091" s="60" t="e">
        <f>SUM(I1092+I1110+I1116+#REF!+I1107+I1120+I1122+I1124+I1128)</f>
        <v>#REF!</v>
      </c>
      <c r="J1091" s="3"/>
      <c r="K1091" s="60" t="e">
        <f>SUM(K1092+K1110+K1116+#REF!+K1107+K1120+K1122+K1124+K1128)</f>
        <v>#REF!</v>
      </c>
      <c r="L1091" s="133"/>
      <c r="M1091" s="60">
        <f>SUM(M1092+M1110+M1116+M1107+M1120+M1122+M1124+M1128)</f>
        <v>53165800</v>
      </c>
      <c r="N1091" s="133"/>
      <c r="O1091" s="60">
        <f>SUM(O1092+O1110+O1116+O1107+O1120+O1122+O1124+O1128+O1126)</f>
        <v>57716800</v>
      </c>
      <c r="P1091" s="133"/>
      <c r="Q1091" s="60">
        <f>SUM(Q1092+Q1110+Q1116+Q1107+Q1120+Q1122+Q1124+Q1128+Q1126)</f>
        <v>73696800</v>
      </c>
    </row>
    <row r="1092" spans="2:17" ht="30.75" customHeight="1">
      <c r="B1092" s="12" t="s">
        <v>224</v>
      </c>
      <c r="C1092" s="6"/>
      <c r="D1092" s="44" t="s">
        <v>92</v>
      </c>
      <c r="E1092" s="6">
        <v>4400000</v>
      </c>
      <c r="F1092" s="6"/>
      <c r="G1092" s="60">
        <f>G1095+G1101+G1093</f>
        <v>0</v>
      </c>
      <c r="H1092" s="3"/>
      <c r="I1092" s="60">
        <f>I1095+I1101+I1093</f>
        <v>40540619</v>
      </c>
      <c r="J1092" s="3"/>
      <c r="K1092" s="60">
        <f>K1095+K1101+K1093</f>
        <v>40510619</v>
      </c>
      <c r="L1092" s="133"/>
      <c r="M1092" s="60">
        <f>M1095+M1101+M1093</f>
        <v>40640619</v>
      </c>
      <c r="N1092" s="133"/>
      <c r="O1092" s="60">
        <f>O1095+O1101+O1093</f>
        <v>40643619</v>
      </c>
      <c r="P1092" s="133"/>
      <c r="Q1092" s="60">
        <f>Q1095+Q1101+Q1093</f>
        <v>40521619</v>
      </c>
    </row>
    <row r="1093" spans="2:17" ht="31.5">
      <c r="B1093" s="96" t="s">
        <v>436</v>
      </c>
      <c r="C1093" s="6"/>
      <c r="D1093" s="101" t="s">
        <v>92</v>
      </c>
      <c r="E1093" s="103" t="s">
        <v>437</v>
      </c>
      <c r="F1093" s="6"/>
      <c r="G1093" s="60">
        <f>G1094</f>
        <v>0</v>
      </c>
      <c r="H1093" s="3"/>
      <c r="I1093" s="60">
        <f>I1094</f>
        <v>0</v>
      </c>
      <c r="J1093" s="3"/>
      <c r="K1093" s="60">
        <f>K1094</f>
        <v>0</v>
      </c>
      <c r="L1093" s="133"/>
      <c r="M1093" s="60">
        <f>M1094</f>
        <v>130000</v>
      </c>
      <c r="N1093" s="133"/>
      <c r="O1093" s="60">
        <f>O1094</f>
        <v>133000</v>
      </c>
      <c r="P1093" s="133"/>
      <c r="Q1093" s="60">
        <f>Q1094</f>
        <v>133000</v>
      </c>
    </row>
    <row r="1094" spans="2:17" ht="31.5">
      <c r="B1094" s="31" t="s">
        <v>382</v>
      </c>
      <c r="C1094" s="6"/>
      <c r="D1094" s="101" t="s">
        <v>92</v>
      </c>
      <c r="E1094" s="103" t="s">
        <v>437</v>
      </c>
      <c r="F1094" s="103" t="s">
        <v>328</v>
      </c>
      <c r="G1094" s="60">
        <v>0</v>
      </c>
      <c r="H1094" s="3">
        <v>0</v>
      </c>
      <c r="I1094" s="60">
        <f>H1094+G1094</f>
        <v>0</v>
      </c>
      <c r="J1094" s="3">
        <v>0</v>
      </c>
      <c r="K1094" s="60">
        <f>J1094+I1094</f>
        <v>0</v>
      </c>
      <c r="L1094" s="133">
        <v>130000</v>
      </c>
      <c r="M1094" s="60">
        <f>L1094+K1094</f>
        <v>130000</v>
      </c>
      <c r="N1094" s="133">
        <v>3000</v>
      </c>
      <c r="O1094" s="60">
        <f>N1094+M1094</f>
        <v>133000</v>
      </c>
      <c r="P1094" s="133"/>
      <c r="Q1094" s="60">
        <f>P1094+O1094</f>
        <v>133000</v>
      </c>
    </row>
    <row r="1095" spans="2:17" ht="31.5" customHeight="1">
      <c r="B1095" s="12" t="s">
        <v>79</v>
      </c>
      <c r="C1095" s="6"/>
      <c r="D1095" s="44" t="s">
        <v>92</v>
      </c>
      <c r="E1095" s="6" t="s">
        <v>115</v>
      </c>
      <c r="F1095" s="6"/>
      <c r="G1095" s="60">
        <f>G1096+G1097+G1098+G1099+G1100</f>
        <v>0</v>
      </c>
      <c r="H1095" s="3"/>
      <c r="I1095" s="60">
        <f>I1096+I1097+I1098+I1099+I1100</f>
        <v>39740619</v>
      </c>
      <c r="J1095" s="3"/>
      <c r="K1095" s="60">
        <f>K1096+K1097+K1098+K1099+K1100</f>
        <v>39710619</v>
      </c>
      <c r="L1095" s="133"/>
      <c r="M1095" s="60">
        <f>M1096+M1097+M1098+M1099+M1100</f>
        <v>39710619</v>
      </c>
      <c r="N1095" s="133"/>
      <c r="O1095" s="60">
        <f>O1096+O1097+O1098+O1099+O1100</f>
        <v>39710619</v>
      </c>
      <c r="P1095" s="133"/>
      <c r="Q1095" s="60">
        <f>Q1096+Q1097+Q1098+Q1099+Q1100</f>
        <v>39588619</v>
      </c>
    </row>
    <row r="1096" spans="2:17" ht="16.5" customHeight="1">
      <c r="B1096" s="31" t="s">
        <v>320</v>
      </c>
      <c r="C1096" s="6"/>
      <c r="D1096" s="44" t="s">
        <v>92</v>
      </c>
      <c r="E1096" s="6" t="s">
        <v>115</v>
      </c>
      <c r="F1096" s="6" t="s">
        <v>325</v>
      </c>
      <c r="G1096" s="60">
        <v>0</v>
      </c>
      <c r="H1096" s="3">
        <v>24738305</v>
      </c>
      <c r="I1096" s="60">
        <f>G1096+H1096</f>
        <v>24738305</v>
      </c>
      <c r="J1096" s="3">
        <v>0</v>
      </c>
      <c r="K1096" s="60">
        <f>I1096+J1096</f>
        <v>24738305</v>
      </c>
      <c r="L1096" s="133"/>
      <c r="M1096" s="60">
        <f>K1096+L1096</f>
        <v>24738305</v>
      </c>
      <c r="N1096" s="133"/>
      <c r="O1096" s="60">
        <f>M1096+N1096</f>
        <v>24738305</v>
      </c>
      <c r="P1096" s="133">
        <v>-106030.9</v>
      </c>
      <c r="Q1096" s="60">
        <f>O1096+P1096</f>
        <v>24632274.1</v>
      </c>
    </row>
    <row r="1097" spans="2:17" ht="33.75" customHeight="1">
      <c r="B1097" s="31" t="s">
        <v>321</v>
      </c>
      <c r="C1097" s="6"/>
      <c r="D1097" s="44" t="s">
        <v>92</v>
      </c>
      <c r="E1097" s="6" t="s">
        <v>115</v>
      </c>
      <c r="F1097" s="6" t="s">
        <v>326</v>
      </c>
      <c r="G1097" s="60">
        <v>0</v>
      </c>
      <c r="H1097" s="3">
        <v>6180</v>
      </c>
      <c r="I1097" s="60">
        <f>G1097+H1097</f>
        <v>6180</v>
      </c>
      <c r="J1097" s="3">
        <v>0</v>
      </c>
      <c r="K1097" s="60">
        <f>I1097+J1097</f>
        <v>6180</v>
      </c>
      <c r="L1097" s="133"/>
      <c r="M1097" s="60">
        <f>K1097+L1097</f>
        <v>6180</v>
      </c>
      <c r="N1097" s="133"/>
      <c r="O1097" s="60">
        <f>M1097+N1097</f>
        <v>6180</v>
      </c>
      <c r="P1097" s="133"/>
      <c r="Q1097" s="60">
        <f>O1097+P1097</f>
        <v>6180</v>
      </c>
    </row>
    <row r="1098" spans="2:17" ht="47.25">
      <c r="B1098" s="31" t="s">
        <v>322</v>
      </c>
      <c r="C1098" s="6"/>
      <c r="D1098" s="44" t="s">
        <v>92</v>
      </c>
      <c r="E1098" s="6" t="s">
        <v>115</v>
      </c>
      <c r="F1098" s="6" t="s">
        <v>327</v>
      </c>
      <c r="G1098" s="60">
        <v>0</v>
      </c>
      <c r="H1098" s="3">
        <v>257583</v>
      </c>
      <c r="I1098" s="60">
        <f>G1098+H1098</f>
        <v>257583</v>
      </c>
      <c r="J1098" s="3">
        <v>0</v>
      </c>
      <c r="K1098" s="60">
        <f>I1098+J1098</f>
        <v>257583</v>
      </c>
      <c r="L1098" s="133"/>
      <c r="M1098" s="60">
        <f>K1098+L1098</f>
        <v>257583</v>
      </c>
      <c r="N1098" s="133"/>
      <c r="O1098" s="60">
        <f>M1098+N1098</f>
        <v>257583</v>
      </c>
      <c r="P1098" s="133">
        <v>-15969.1</v>
      </c>
      <c r="Q1098" s="60">
        <f>O1098+P1098</f>
        <v>241613.9</v>
      </c>
    </row>
    <row r="1099" spans="2:17" ht="31.5">
      <c r="B1099" s="31" t="s">
        <v>382</v>
      </c>
      <c r="C1099" s="6"/>
      <c r="D1099" s="44" t="s">
        <v>92</v>
      </c>
      <c r="E1099" s="6" t="s">
        <v>115</v>
      </c>
      <c r="F1099" s="6" t="s">
        <v>328</v>
      </c>
      <c r="G1099" s="60">
        <v>0</v>
      </c>
      <c r="H1099" s="3">
        <v>14588551</v>
      </c>
      <c r="I1099" s="60">
        <f>G1099+H1099</f>
        <v>14588551</v>
      </c>
      <c r="J1099" s="3">
        <v>-30000</v>
      </c>
      <c r="K1099" s="60">
        <f>I1099+J1099</f>
        <v>14558551</v>
      </c>
      <c r="L1099" s="133"/>
      <c r="M1099" s="60">
        <f>K1099+L1099</f>
        <v>14558551</v>
      </c>
      <c r="N1099" s="133"/>
      <c r="O1099" s="60">
        <f>M1099+N1099</f>
        <v>14558551</v>
      </c>
      <c r="P1099" s="133"/>
      <c r="Q1099" s="60">
        <f>O1099+P1099</f>
        <v>14558551</v>
      </c>
    </row>
    <row r="1100" spans="2:17" ht="15.75">
      <c r="B1100" s="31" t="s">
        <v>334</v>
      </c>
      <c r="C1100" s="6"/>
      <c r="D1100" s="44" t="s">
        <v>92</v>
      </c>
      <c r="E1100" s="6" t="s">
        <v>115</v>
      </c>
      <c r="F1100" s="6" t="s">
        <v>335</v>
      </c>
      <c r="G1100" s="60">
        <v>0</v>
      </c>
      <c r="H1100" s="3">
        <v>150000</v>
      </c>
      <c r="I1100" s="60">
        <f>G1100+H1100</f>
        <v>150000</v>
      </c>
      <c r="J1100" s="3">
        <v>0</v>
      </c>
      <c r="K1100" s="60">
        <f>I1100+J1100</f>
        <v>150000</v>
      </c>
      <c r="L1100" s="133"/>
      <c r="M1100" s="60">
        <f>K1100+L1100</f>
        <v>150000</v>
      </c>
      <c r="N1100" s="133"/>
      <c r="O1100" s="60">
        <f>M1100+N1100</f>
        <v>150000</v>
      </c>
      <c r="P1100" s="133"/>
      <c r="Q1100" s="60">
        <f>O1100+P1100</f>
        <v>150000</v>
      </c>
    </row>
    <row r="1101" spans="2:17" ht="36" customHeight="1">
      <c r="B1101" s="12" t="s">
        <v>79</v>
      </c>
      <c r="C1101" s="6"/>
      <c r="D1101" s="44" t="s">
        <v>92</v>
      </c>
      <c r="E1101" s="6" t="s">
        <v>254</v>
      </c>
      <c r="F1101" s="6"/>
      <c r="G1101" s="60">
        <f>G1102+G1104+G1105+G1106+G1103</f>
        <v>0</v>
      </c>
      <c r="H1101" s="3"/>
      <c r="I1101" s="60">
        <f>I1102+I1104+I1105+I1106+I1103</f>
        <v>800000</v>
      </c>
      <c r="J1101" s="3"/>
      <c r="K1101" s="60">
        <f>K1102+K1104+K1105+K1106+K1103</f>
        <v>800000</v>
      </c>
      <c r="L1101" s="133"/>
      <c r="M1101" s="60">
        <f>M1102+M1104+M1105+M1106+M1103</f>
        <v>800000</v>
      </c>
      <c r="N1101" s="133"/>
      <c r="O1101" s="60">
        <f>O1102+O1104+O1105+O1106+O1103</f>
        <v>800000</v>
      </c>
      <c r="P1101" s="133"/>
      <c r="Q1101" s="60">
        <f>Q1102+Q1104+Q1105+Q1106+Q1103</f>
        <v>800000</v>
      </c>
    </row>
    <row r="1102" spans="2:17" ht="33" customHeight="1">
      <c r="B1102" s="31" t="s">
        <v>321</v>
      </c>
      <c r="C1102" s="6"/>
      <c r="D1102" s="44" t="s">
        <v>92</v>
      </c>
      <c r="E1102" s="6" t="s">
        <v>254</v>
      </c>
      <c r="F1102" s="6" t="s">
        <v>326</v>
      </c>
      <c r="G1102" s="60">
        <v>0</v>
      </c>
      <c r="H1102" s="3">
        <v>50000</v>
      </c>
      <c r="I1102" s="60">
        <f>G1102+H1102</f>
        <v>50000</v>
      </c>
      <c r="J1102" s="3">
        <v>0</v>
      </c>
      <c r="K1102" s="60">
        <f>I1102+J1102</f>
        <v>50000</v>
      </c>
      <c r="L1102" s="133">
        <v>-50000</v>
      </c>
      <c r="M1102" s="60">
        <f>K1102+L1102</f>
        <v>0</v>
      </c>
      <c r="N1102" s="133">
        <v>0</v>
      </c>
      <c r="O1102" s="60">
        <f>M1102+N1102</f>
        <v>0</v>
      </c>
      <c r="P1102" s="133"/>
      <c r="Q1102" s="60">
        <f>O1102+P1102</f>
        <v>0</v>
      </c>
    </row>
    <row r="1103" spans="2:17" ht="34.5" customHeight="1" hidden="1">
      <c r="B1103" s="31" t="s">
        <v>322</v>
      </c>
      <c r="C1103" s="6"/>
      <c r="D1103" s="44" t="s">
        <v>92</v>
      </c>
      <c r="E1103" s="6" t="s">
        <v>254</v>
      </c>
      <c r="F1103" s="6" t="s">
        <v>327</v>
      </c>
      <c r="G1103" s="60">
        <v>0</v>
      </c>
      <c r="H1103" s="3">
        <v>0</v>
      </c>
      <c r="I1103" s="60">
        <f>G1103+H1103</f>
        <v>0</v>
      </c>
      <c r="J1103" s="3">
        <v>0</v>
      </c>
      <c r="K1103" s="60">
        <f>I1103+J1103</f>
        <v>0</v>
      </c>
      <c r="L1103" s="133"/>
      <c r="M1103" s="60">
        <f>K1103+L1103</f>
        <v>0</v>
      </c>
      <c r="N1103" s="133"/>
      <c r="O1103" s="60">
        <f>M1103+N1103</f>
        <v>0</v>
      </c>
      <c r="P1103" s="133"/>
      <c r="Q1103" s="60">
        <f>O1103+P1103</f>
        <v>0</v>
      </c>
    </row>
    <row r="1104" spans="2:17" ht="34.5" customHeight="1">
      <c r="B1104" s="31" t="s">
        <v>382</v>
      </c>
      <c r="C1104" s="6"/>
      <c r="D1104" s="44" t="s">
        <v>92</v>
      </c>
      <c r="E1104" s="6" t="s">
        <v>254</v>
      </c>
      <c r="F1104" s="6" t="s">
        <v>328</v>
      </c>
      <c r="G1104" s="60">
        <v>0</v>
      </c>
      <c r="H1104" s="3">
        <v>685000</v>
      </c>
      <c r="I1104" s="60">
        <f>G1104+H1104</f>
        <v>685000</v>
      </c>
      <c r="J1104" s="3">
        <v>0</v>
      </c>
      <c r="K1104" s="60">
        <f>I1104+J1104</f>
        <v>685000</v>
      </c>
      <c r="L1104" s="133">
        <v>50000</v>
      </c>
      <c r="M1104" s="60">
        <f>K1104+L1104</f>
        <v>735000</v>
      </c>
      <c r="N1104" s="133">
        <v>0</v>
      </c>
      <c r="O1104" s="60">
        <f>M1104+N1104</f>
        <v>735000</v>
      </c>
      <c r="P1104" s="133">
        <v>-61000</v>
      </c>
      <c r="Q1104" s="60">
        <f>O1104+P1104</f>
        <v>674000</v>
      </c>
    </row>
    <row r="1105" spans="2:17" ht="15.75" customHeight="1">
      <c r="B1105" s="31" t="s">
        <v>355</v>
      </c>
      <c r="C1105" s="6"/>
      <c r="D1105" s="44" t="s">
        <v>92</v>
      </c>
      <c r="E1105" s="6" t="s">
        <v>254</v>
      </c>
      <c r="F1105" s="6" t="s">
        <v>329</v>
      </c>
      <c r="G1105" s="60">
        <v>0</v>
      </c>
      <c r="H1105" s="3">
        <v>15000</v>
      </c>
      <c r="I1105" s="60">
        <f>G1105+H1105</f>
        <v>15000</v>
      </c>
      <c r="J1105" s="3">
        <v>0</v>
      </c>
      <c r="K1105" s="60">
        <f>I1105+J1105</f>
        <v>15000</v>
      </c>
      <c r="L1105" s="133"/>
      <c r="M1105" s="60">
        <f>K1105+L1105</f>
        <v>15000</v>
      </c>
      <c r="N1105" s="133"/>
      <c r="O1105" s="60">
        <f>M1105+N1105</f>
        <v>15000</v>
      </c>
      <c r="P1105" s="133"/>
      <c r="Q1105" s="60">
        <f>O1105+P1105</f>
        <v>15000</v>
      </c>
    </row>
    <row r="1106" spans="2:17" ht="18" customHeight="1">
      <c r="B1106" s="31" t="s">
        <v>334</v>
      </c>
      <c r="C1106" s="6"/>
      <c r="D1106" s="44" t="s">
        <v>92</v>
      </c>
      <c r="E1106" s="6" t="s">
        <v>254</v>
      </c>
      <c r="F1106" s="6" t="s">
        <v>335</v>
      </c>
      <c r="G1106" s="60">
        <v>0</v>
      </c>
      <c r="H1106" s="3">
        <v>50000</v>
      </c>
      <c r="I1106" s="60">
        <f>G1106+H1106</f>
        <v>50000</v>
      </c>
      <c r="J1106" s="3">
        <v>0</v>
      </c>
      <c r="K1106" s="60">
        <f>I1106+J1106</f>
        <v>50000</v>
      </c>
      <c r="L1106" s="133"/>
      <c r="M1106" s="60">
        <f>K1106+L1106</f>
        <v>50000</v>
      </c>
      <c r="N1106" s="133"/>
      <c r="O1106" s="60">
        <f>M1106+N1106</f>
        <v>50000</v>
      </c>
      <c r="P1106" s="133">
        <v>61000</v>
      </c>
      <c r="Q1106" s="60">
        <f>O1106+P1106</f>
        <v>111000</v>
      </c>
    </row>
    <row r="1107" spans="2:17" ht="18.75" customHeight="1" hidden="1">
      <c r="B1107" s="100" t="s">
        <v>307</v>
      </c>
      <c r="C1107" s="6"/>
      <c r="D1107" s="44" t="s">
        <v>92</v>
      </c>
      <c r="E1107" s="6" t="s">
        <v>308</v>
      </c>
      <c r="F1107" s="6"/>
      <c r="G1107" s="60" t="e">
        <f>#REF!+G1108</f>
        <v>#REF!</v>
      </c>
      <c r="H1107" s="3"/>
      <c r="I1107" s="60">
        <f>I1108</f>
        <v>0</v>
      </c>
      <c r="J1107" s="3"/>
      <c r="K1107" s="60">
        <f>K1108</f>
        <v>0</v>
      </c>
      <c r="L1107" s="133"/>
      <c r="M1107" s="60">
        <f>M1108</f>
        <v>0</v>
      </c>
      <c r="N1107" s="133"/>
      <c r="O1107" s="60">
        <f>O1108</f>
        <v>0</v>
      </c>
      <c r="P1107" s="133"/>
      <c r="Q1107" s="60">
        <f>Q1108</f>
        <v>0</v>
      </c>
    </row>
    <row r="1108" spans="2:17" ht="18.75" customHeight="1" hidden="1">
      <c r="B1108" s="81" t="s">
        <v>309</v>
      </c>
      <c r="C1108" s="6"/>
      <c r="D1108" s="44" t="s">
        <v>92</v>
      </c>
      <c r="E1108" s="6" t="s">
        <v>308</v>
      </c>
      <c r="F1108" s="6"/>
      <c r="G1108" s="60">
        <f>G1109</f>
        <v>0</v>
      </c>
      <c r="H1108" s="3"/>
      <c r="I1108" s="60">
        <f>I1109</f>
        <v>0</v>
      </c>
      <c r="J1108" s="3"/>
      <c r="K1108" s="60">
        <f>K1109</f>
        <v>0</v>
      </c>
      <c r="L1108" s="133"/>
      <c r="M1108" s="60">
        <f>M1109</f>
        <v>0</v>
      </c>
      <c r="N1108" s="133"/>
      <c r="O1108" s="60">
        <f>O1109</f>
        <v>0</v>
      </c>
      <c r="P1108" s="133"/>
      <c r="Q1108" s="60">
        <f>Q1109</f>
        <v>0</v>
      </c>
    </row>
    <row r="1109" spans="2:17" ht="18.75" customHeight="1" hidden="1">
      <c r="B1109" s="31" t="s">
        <v>334</v>
      </c>
      <c r="C1109" s="6"/>
      <c r="D1109" s="44" t="s">
        <v>92</v>
      </c>
      <c r="E1109" s="6" t="s">
        <v>308</v>
      </c>
      <c r="F1109" s="6" t="s">
        <v>335</v>
      </c>
      <c r="G1109" s="60">
        <v>0</v>
      </c>
      <c r="H1109" s="3">
        <v>0</v>
      </c>
      <c r="I1109" s="60">
        <f>G1109+H1109</f>
        <v>0</v>
      </c>
      <c r="J1109" s="3">
        <v>0</v>
      </c>
      <c r="K1109" s="60">
        <f>I1109+J1109</f>
        <v>0</v>
      </c>
      <c r="L1109" s="133"/>
      <c r="M1109" s="60">
        <f>K1109+L1109</f>
        <v>0</v>
      </c>
      <c r="N1109" s="133"/>
      <c r="O1109" s="60">
        <f>M1109+N1109</f>
        <v>0</v>
      </c>
      <c r="P1109" s="133"/>
      <c r="Q1109" s="60">
        <f>O1109+P1109</f>
        <v>0</v>
      </c>
    </row>
    <row r="1110" spans="2:17" ht="15.75">
      <c r="B1110" s="12" t="s">
        <v>93</v>
      </c>
      <c r="C1110" s="6"/>
      <c r="D1110" s="44" t="s">
        <v>92</v>
      </c>
      <c r="E1110" s="6">
        <v>4420000</v>
      </c>
      <c r="F1110" s="6"/>
      <c r="G1110" s="60">
        <f>G1111</f>
        <v>0</v>
      </c>
      <c r="H1110" s="3"/>
      <c r="I1110" s="60">
        <f>I1111</f>
        <v>10932391</v>
      </c>
      <c r="J1110" s="3"/>
      <c r="K1110" s="60">
        <f>K1111</f>
        <v>10932391</v>
      </c>
      <c r="L1110" s="133"/>
      <c r="M1110" s="60">
        <f>M1111</f>
        <v>10932391</v>
      </c>
      <c r="N1110" s="133"/>
      <c r="O1110" s="60">
        <f>O1111</f>
        <v>10932391</v>
      </c>
      <c r="P1110" s="133"/>
      <c r="Q1110" s="60">
        <f>Q1111</f>
        <v>10932391</v>
      </c>
    </row>
    <row r="1111" spans="2:17" ht="33.75" customHeight="1">
      <c r="B1111" s="12" t="s">
        <v>79</v>
      </c>
      <c r="C1111" s="6"/>
      <c r="D1111" s="44" t="s">
        <v>92</v>
      </c>
      <c r="E1111" s="6" t="s">
        <v>116</v>
      </c>
      <c r="F1111" s="6"/>
      <c r="G1111" s="60">
        <f>SUM(G1113+G1112+G1114+G1115)</f>
        <v>0</v>
      </c>
      <c r="H1111" s="3"/>
      <c r="I1111" s="60">
        <f>SUM(I1113+I1112+I1114+I1115)</f>
        <v>10932391</v>
      </c>
      <c r="J1111" s="3"/>
      <c r="K1111" s="60">
        <f>SUM(K1113+K1112+K1114+K1115)</f>
        <v>10932391</v>
      </c>
      <c r="L1111" s="133"/>
      <c r="M1111" s="60">
        <f>SUM(M1113+M1112+M1114+M1115)</f>
        <v>10932391</v>
      </c>
      <c r="N1111" s="133"/>
      <c r="O1111" s="60">
        <f>SUM(O1113+O1112+O1114+O1115)</f>
        <v>10932391</v>
      </c>
      <c r="P1111" s="133"/>
      <c r="Q1111" s="60">
        <f>SUM(Q1113+Q1112+Q1114+Q1115)</f>
        <v>10932391</v>
      </c>
    </row>
    <row r="1112" spans="2:17" ht="15.75">
      <c r="B1112" s="31" t="s">
        <v>320</v>
      </c>
      <c r="C1112" s="6"/>
      <c r="D1112" s="44" t="s">
        <v>92</v>
      </c>
      <c r="E1112" s="6" t="s">
        <v>116</v>
      </c>
      <c r="F1112" s="6" t="s">
        <v>325</v>
      </c>
      <c r="G1112" s="60">
        <v>0</v>
      </c>
      <c r="H1112" s="3">
        <v>8880042</v>
      </c>
      <c r="I1112" s="60">
        <f>G1112+H1112</f>
        <v>8880042</v>
      </c>
      <c r="J1112" s="3">
        <v>0</v>
      </c>
      <c r="K1112" s="60">
        <f>I1112+J1112</f>
        <v>8880042</v>
      </c>
      <c r="L1112" s="133"/>
      <c r="M1112" s="60">
        <f>K1112+L1112</f>
        <v>8880042</v>
      </c>
      <c r="N1112" s="133"/>
      <c r="O1112" s="60">
        <f>M1112+N1112</f>
        <v>8880042</v>
      </c>
      <c r="P1112" s="133"/>
      <c r="Q1112" s="60">
        <f>O1112+P1112</f>
        <v>8880042</v>
      </c>
    </row>
    <row r="1113" spans="2:17" ht="31.5">
      <c r="B1113" s="31" t="s">
        <v>321</v>
      </c>
      <c r="C1113" s="6"/>
      <c r="D1113" s="44" t="s">
        <v>92</v>
      </c>
      <c r="E1113" s="6" t="s">
        <v>116</v>
      </c>
      <c r="F1113" s="6" t="s">
        <v>326</v>
      </c>
      <c r="G1113" s="60">
        <v>0</v>
      </c>
      <c r="H1113" s="3">
        <v>13327</v>
      </c>
      <c r="I1113" s="60">
        <f>G1113+H1113</f>
        <v>13327</v>
      </c>
      <c r="J1113" s="3">
        <v>0</v>
      </c>
      <c r="K1113" s="60">
        <f>I1113+J1113</f>
        <v>13327</v>
      </c>
      <c r="L1113" s="133"/>
      <c r="M1113" s="60">
        <f>K1113+L1113</f>
        <v>13327</v>
      </c>
      <c r="N1113" s="133"/>
      <c r="O1113" s="60">
        <f>M1113+N1113</f>
        <v>13327</v>
      </c>
      <c r="P1113" s="133"/>
      <c r="Q1113" s="60">
        <f>O1113+P1113</f>
        <v>13327</v>
      </c>
    </row>
    <row r="1114" spans="2:17" ht="47.25">
      <c r="B1114" s="31" t="s">
        <v>322</v>
      </c>
      <c r="C1114" s="6"/>
      <c r="D1114" s="44" t="s">
        <v>92</v>
      </c>
      <c r="E1114" s="6" t="s">
        <v>116</v>
      </c>
      <c r="F1114" s="6" t="s">
        <v>327</v>
      </c>
      <c r="G1114" s="60">
        <v>0</v>
      </c>
      <c r="H1114" s="3">
        <v>246100</v>
      </c>
      <c r="I1114" s="60">
        <f>G1114+H1114</f>
        <v>246100</v>
      </c>
      <c r="J1114" s="3">
        <v>0</v>
      </c>
      <c r="K1114" s="60">
        <f>I1114+J1114</f>
        <v>246100</v>
      </c>
      <c r="L1114" s="133"/>
      <c r="M1114" s="60">
        <f>K1114+L1114</f>
        <v>246100</v>
      </c>
      <c r="N1114" s="133"/>
      <c r="O1114" s="60">
        <f>M1114+N1114</f>
        <v>246100</v>
      </c>
      <c r="P1114" s="133"/>
      <c r="Q1114" s="60">
        <f>O1114+P1114</f>
        <v>246100</v>
      </c>
    </row>
    <row r="1115" spans="2:17" ht="35.25" customHeight="1">
      <c r="B1115" s="31" t="s">
        <v>382</v>
      </c>
      <c r="C1115" s="6"/>
      <c r="D1115" s="44" t="s">
        <v>92</v>
      </c>
      <c r="E1115" s="6" t="s">
        <v>116</v>
      </c>
      <c r="F1115" s="6" t="s">
        <v>328</v>
      </c>
      <c r="G1115" s="60">
        <v>0</v>
      </c>
      <c r="H1115" s="3">
        <v>1792922</v>
      </c>
      <c r="I1115" s="60">
        <f>G1115+H1115</f>
        <v>1792922</v>
      </c>
      <c r="J1115" s="3">
        <v>0</v>
      </c>
      <c r="K1115" s="60">
        <f>I1115+J1115</f>
        <v>1792922</v>
      </c>
      <c r="L1115" s="133"/>
      <c r="M1115" s="60">
        <f>K1115+L1115</f>
        <v>1792922</v>
      </c>
      <c r="N1115" s="133"/>
      <c r="O1115" s="60">
        <f>M1115+N1115</f>
        <v>1792922</v>
      </c>
      <c r="P1115" s="133"/>
      <c r="Q1115" s="60">
        <f>O1115+P1115</f>
        <v>1792922</v>
      </c>
    </row>
    <row r="1116" spans="2:17" ht="34.5" customHeight="1">
      <c r="B1116" s="12" t="s">
        <v>94</v>
      </c>
      <c r="C1116" s="6"/>
      <c r="D1116" s="44" t="s">
        <v>92</v>
      </c>
      <c r="E1116" s="6">
        <v>4430000</v>
      </c>
      <c r="F1116" s="6"/>
      <c r="G1116" s="60">
        <f>G1117+G1118+G1119</f>
        <v>0</v>
      </c>
      <c r="H1116" s="3"/>
      <c r="I1116" s="60">
        <f>I1117+I1118+I1119</f>
        <v>1592790</v>
      </c>
      <c r="J1116" s="3"/>
      <c r="K1116" s="60">
        <f>K1117+K1118+K1119</f>
        <v>1592790</v>
      </c>
      <c r="L1116" s="133"/>
      <c r="M1116" s="60">
        <f>M1117+M1118+M1119</f>
        <v>1592790</v>
      </c>
      <c r="N1116" s="133"/>
      <c r="O1116" s="60">
        <f>O1117+O1118+O1119</f>
        <v>1592790</v>
      </c>
      <c r="P1116" s="133"/>
      <c r="Q1116" s="60">
        <f>Q1117+Q1118+Q1119</f>
        <v>1572790</v>
      </c>
    </row>
    <row r="1117" spans="2:17" ht="15.75">
      <c r="B1117" s="31" t="s">
        <v>320</v>
      </c>
      <c r="C1117" s="6"/>
      <c r="D1117" s="44" t="s">
        <v>92</v>
      </c>
      <c r="E1117" s="6">
        <v>4430000</v>
      </c>
      <c r="F1117" s="6" t="s">
        <v>325</v>
      </c>
      <c r="G1117" s="60">
        <v>0</v>
      </c>
      <c r="H1117" s="3">
        <v>1552790</v>
      </c>
      <c r="I1117" s="60">
        <f>G1117+H1117</f>
        <v>1552790</v>
      </c>
      <c r="J1117" s="3">
        <v>0</v>
      </c>
      <c r="K1117" s="60">
        <f>I1117+J1117</f>
        <v>1552790</v>
      </c>
      <c r="L1117" s="133"/>
      <c r="M1117" s="60">
        <f>K1117+L1117</f>
        <v>1552790</v>
      </c>
      <c r="N1117" s="133"/>
      <c r="O1117" s="60">
        <f>M1117+N1117</f>
        <v>1552790</v>
      </c>
      <c r="P1117" s="133"/>
      <c r="Q1117" s="60">
        <f>O1117+P1117</f>
        <v>1552790</v>
      </c>
    </row>
    <row r="1118" spans="2:17" ht="33.75" customHeight="1">
      <c r="B1118" s="31" t="s">
        <v>321</v>
      </c>
      <c r="C1118" s="6"/>
      <c r="D1118" s="44" t="s">
        <v>92</v>
      </c>
      <c r="E1118" s="6" t="s">
        <v>117</v>
      </c>
      <c r="F1118" s="6" t="s">
        <v>326</v>
      </c>
      <c r="G1118" s="60">
        <v>0</v>
      </c>
      <c r="H1118" s="3">
        <v>20000</v>
      </c>
      <c r="I1118" s="60">
        <f>G1118+H1118</f>
        <v>20000</v>
      </c>
      <c r="J1118" s="3">
        <v>0</v>
      </c>
      <c r="K1118" s="60">
        <f>I1118+J1118</f>
        <v>20000</v>
      </c>
      <c r="L1118" s="133"/>
      <c r="M1118" s="60">
        <f>K1118+L1118</f>
        <v>20000</v>
      </c>
      <c r="N1118" s="133"/>
      <c r="O1118" s="60">
        <f>M1118+N1118</f>
        <v>20000</v>
      </c>
      <c r="P1118" s="133"/>
      <c r="Q1118" s="60">
        <f>O1118+P1118</f>
        <v>20000</v>
      </c>
    </row>
    <row r="1119" spans="2:17" ht="36.75" customHeight="1">
      <c r="B1119" s="31" t="s">
        <v>382</v>
      </c>
      <c r="C1119" s="6"/>
      <c r="D1119" s="44" t="s">
        <v>92</v>
      </c>
      <c r="E1119" s="6" t="s">
        <v>117</v>
      </c>
      <c r="F1119" s="6" t="s">
        <v>328</v>
      </c>
      <c r="G1119" s="60">
        <v>0</v>
      </c>
      <c r="H1119" s="3">
        <v>20000</v>
      </c>
      <c r="I1119" s="60">
        <f>G1119+H1119</f>
        <v>20000</v>
      </c>
      <c r="J1119" s="3">
        <v>0</v>
      </c>
      <c r="K1119" s="60">
        <f>I1119+J1119</f>
        <v>20000</v>
      </c>
      <c r="L1119" s="133"/>
      <c r="M1119" s="60">
        <f>K1119+L1119</f>
        <v>20000</v>
      </c>
      <c r="N1119" s="133"/>
      <c r="O1119" s="60">
        <f>M1119+N1119</f>
        <v>20000</v>
      </c>
      <c r="P1119" s="133">
        <v>-20000</v>
      </c>
      <c r="Q1119" s="60">
        <f>O1119+P1119</f>
        <v>0</v>
      </c>
    </row>
    <row r="1120" spans="2:17" ht="30" customHeight="1" hidden="1">
      <c r="B1120" s="96" t="s">
        <v>446</v>
      </c>
      <c r="C1120" s="97" t="s">
        <v>448</v>
      </c>
      <c r="D1120" s="97" t="s">
        <v>92</v>
      </c>
      <c r="E1120" s="97" t="s">
        <v>447</v>
      </c>
      <c r="F1120" s="97"/>
      <c r="G1120" s="60">
        <f>G1121</f>
        <v>0</v>
      </c>
      <c r="H1120" s="3"/>
      <c r="I1120" s="60">
        <f>I1121</f>
        <v>0</v>
      </c>
      <c r="J1120" s="3"/>
      <c r="K1120" s="60">
        <f>K1121</f>
        <v>0</v>
      </c>
      <c r="L1120" s="133"/>
      <c r="M1120" s="60">
        <f>M1121</f>
        <v>0</v>
      </c>
      <c r="N1120" s="133"/>
      <c r="O1120" s="60">
        <f>O1121</f>
        <v>0</v>
      </c>
      <c r="P1120" s="133"/>
      <c r="Q1120" s="60">
        <f>Q1121</f>
        <v>0</v>
      </c>
    </row>
    <row r="1121" spans="2:17" ht="30" customHeight="1" hidden="1">
      <c r="B1121" s="96" t="s">
        <v>320</v>
      </c>
      <c r="C1121" s="97" t="s">
        <v>448</v>
      </c>
      <c r="D1121" s="97" t="s">
        <v>92</v>
      </c>
      <c r="E1121" s="97" t="s">
        <v>447</v>
      </c>
      <c r="F1121" s="97" t="s">
        <v>325</v>
      </c>
      <c r="G1121" s="60">
        <v>0</v>
      </c>
      <c r="H1121" s="3">
        <v>0</v>
      </c>
      <c r="I1121" s="60">
        <f>G1121+H1121</f>
        <v>0</v>
      </c>
      <c r="J1121" s="3">
        <v>0</v>
      </c>
      <c r="K1121" s="60">
        <f>I1121+J1121</f>
        <v>0</v>
      </c>
      <c r="L1121" s="133"/>
      <c r="M1121" s="60">
        <f>K1121+L1121</f>
        <v>0</v>
      </c>
      <c r="N1121" s="133"/>
      <c r="O1121" s="60">
        <f>M1121+N1121</f>
        <v>0</v>
      </c>
      <c r="P1121" s="133"/>
      <c r="Q1121" s="60">
        <f>O1121+P1121</f>
        <v>0</v>
      </c>
    </row>
    <row r="1122" spans="2:17" ht="30" customHeight="1" hidden="1">
      <c r="B1122" s="96" t="s">
        <v>449</v>
      </c>
      <c r="C1122" s="97" t="s">
        <v>448</v>
      </c>
      <c r="D1122" s="97" t="s">
        <v>92</v>
      </c>
      <c r="E1122" s="97" t="s">
        <v>450</v>
      </c>
      <c r="F1122" s="97"/>
      <c r="G1122" s="60">
        <f>G1123</f>
        <v>0</v>
      </c>
      <c r="H1122" s="3"/>
      <c r="I1122" s="60">
        <f>I1123</f>
        <v>0</v>
      </c>
      <c r="J1122" s="3"/>
      <c r="K1122" s="60">
        <f>K1123</f>
        <v>0</v>
      </c>
      <c r="L1122" s="133"/>
      <c r="M1122" s="60">
        <f>M1123</f>
        <v>0</v>
      </c>
      <c r="N1122" s="133"/>
      <c r="O1122" s="60">
        <f>O1123</f>
        <v>0</v>
      </c>
      <c r="P1122" s="133"/>
      <c r="Q1122" s="60">
        <f>Q1123</f>
        <v>0</v>
      </c>
    </row>
    <row r="1123" spans="2:17" ht="30" customHeight="1" hidden="1">
      <c r="B1123" s="96" t="s">
        <v>382</v>
      </c>
      <c r="C1123" s="97" t="s">
        <v>448</v>
      </c>
      <c r="D1123" s="97" t="s">
        <v>92</v>
      </c>
      <c r="E1123" s="97" t="s">
        <v>450</v>
      </c>
      <c r="F1123" s="97" t="s">
        <v>328</v>
      </c>
      <c r="G1123" s="60">
        <v>0</v>
      </c>
      <c r="H1123" s="3">
        <v>0</v>
      </c>
      <c r="I1123" s="60">
        <f>G1123+H1123</f>
        <v>0</v>
      </c>
      <c r="J1123" s="3">
        <v>0</v>
      </c>
      <c r="K1123" s="60">
        <f>I1123+J1123</f>
        <v>0</v>
      </c>
      <c r="L1123" s="133"/>
      <c r="M1123" s="60">
        <f>K1123+L1123</f>
        <v>0</v>
      </c>
      <c r="N1123" s="133"/>
      <c r="O1123" s="60">
        <f>M1123+N1123</f>
        <v>0</v>
      </c>
      <c r="P1123" s="133"/>
      <c r="Q1123" s="60">
        <f>O1123+P1123</f>
        <v>0</v>
      </c>
    </row>
    <row r="1124" spans="2:17" ht="36" customHeight="1" hidden="1">
      <c r="B1124" s="108" t="s">
        <v>242</v>
      </c>
      <c r="C1124" s="97" t="s">
        <v>448</v>
      </c>
      <c r="D1124" s="98" t="s">
        <v>92</v>
      </c>
      <c r="E1124" s="97" t="s">
        <v>298</v>
      </c>
      <c r="F1124" s="97"/>
      <c r="G1124" s="60">
        <f>G1125</f>
        <v>0</v>
      </c>
      <c r="H1124" s="3"/>
      <c r="I1124" s="60">
        <f>I1125</f>
        <v>0</v>
      </c>
      <c r="J1124" s="3"/>
      <c r="K1124" s="60">
        <f>K1125</f>
        <v>0</v>
      </c>
      <c r="L1124" s="133"/>
      <c r="M1124" s="60">
        <f>M1125</f>
        <v>0</v>
      </c>
      <c r="N1124" s="133"/>
      <c r="O1124" s="60">
        <f>O1125</f>
        <v>0</v>
      </c>
      <c r="P1124" s="133"/>
      <c r="Q1124" s="60">
        <f>Q1125</f>
        <v>0</v>
      </c>
    </row>
    <row r="1125" spans="2:17" ht="7.5" customHeight="1" hidden="1">
      <c r="B1125" s="109" t="s">
        <v>322</v>
      </c>
      <c r="C1125" s="97" t="s">
        <v>448</v>
      </c>
      <c r="D1125" s="98" t="s">
        <v>92</v>
      </c>
      <c r="E1125" s="97" t="s">
        <v>298</v>
      </c>
      <c r="F1125" s="97" t="s">
        <v>327</v>
      </c>
      <c r="G1125" s="60">
        <v>0</v>
      </c>
      <c r="H1125" s="3">
        <v>0</v>
      </c>
      <c r="I1125" s="60">
        <f>G1125+H1125</f>
        <v>0</v>
      </c>
      <c r="J1125" s="3">
        <v>0</v>
      </c>
      <c r="K1125" s="60">
        <f>I1125+J1125</f>
        <v>0</v>
      </c>
      <c r="L1125" s="133"/>
      <c r="M1125" s="60">
        <f>K1125+L1125</f>
        <v>0</v>
      </c>
      <c r="N1125" s="133"/>
      <c r="O1125" s="60">
        <f>M1125+N1125</f>
        <v>0</v>
      </c>
      <c r="P1125" s="133"/>
      <c r="Q1125" s="60">
        <f>O1125+P1125</f>
        <v>0</v>
      </c>
    </row>
    <row r="1126" spans="2:17" s="188" customFormat="1" ht="47.25">
      <c r="B1126" s="199" t="s">
        <v>575</v>
      </c>
      <c r="C1126" s="189"/>
      <c r="D1126" s="189" t="s">
        <v>92</v>
      </c>
      <c r="E1126" s="189" t="s">
        <v>532</v>
      </c>
      <c r="F1126" s="189"/>
      <c r="G1126" s="185"/>
      <c r="H1126" s="191"/>
      <c r="I1126" s="185"/>
      <c r="J1126" s="191"/>
      <c r="K1126" s="185"/>
      <c r="L1126" s="192"/>
      <c r="M1126" s="185"/>
      <c r="N1126" s="192"/>
      <c r="O1126" s="185">
        <f>O1127</f>
        <v>4548000</v>
      </c>
      <c r="P1126" s="192"/>
      <c r="Q1126" s="185">
        <f>Q1127</f>
        <v>20670000</v>
      </c>
    </row>
    <row r="1127" spans="2:17" s="188" customFormat="1" ht="15.75">
      <c r="B1127" s="187" t="s">
        <v>320</v>
      </c>
      <c r="C1127" s="189"/>
      <c r="D1127" s="189" t="s">
        <v>92</v>
      </c>
      <c r="E1127" s="189" t="s">
        <v>532</v>
      </c>
      <c r="F1127" s="189" t="s">
        <v>325</v>
      </c>
      <c r="G1127" s="185"/>
      <c r="H1127" s="191"/>
      <c r="I1127" s="185"/>
      <c r="J1127" s="191"/>
      <c r="K1127" s="185"/>
      <c r="L1127" s="192"/>
      <c r="M1127" s="185"/>
      <c r="N1127" s="192">
        <v>4548000</v>
      </c>
      <c r="O1127" s="185">
        <f>M1127+N1127</f>
        <v>4548000</v>
      </c>
      <c r="P1127" s="192">
        <v>16122000</v>
      </c>
      <c r="Q1127" s="185">
        <f>O1127+P1127</f>
        <v>20670000</v>
      </c>
    </row>
    <row r="1128" spans="2:17" ht="31.5" customHeight="1">
      <c r="B1128" s="96" t="s">
        <v>312</v>
      </c>
      <c r="C1128" s="97" t="s">
        <v>448</v>
      </c>
      <c r="D1128" s="97" t="s">
        <v>92</v>
      </c>
      <c r="E1128" s="97" t="s">
        <v>262</v>
      </c>
      <c r="F1128" s="97"/>
      <c r="G1128" s="60">
        <f>G1129</f>
        <v>0</v>
      </c>
      <c r="H1128" s="3"/>
      <c r="I1128" s="60">
        <f>I1129</f>
        <v>42420</v>
      </c>
      <c r="J1128" s="3">
        <v>0</v>
      </c>
      <c r="K1128" s="60">
        <f>K1129</f>
        <v>0</v>
      </c>
      <c r="L1128" s="133"/>
      <c r="M1128" s="60">
        <f>M1129</f>
        <v>0</v>
      </c>
      <c r="N1128" s="133"/>
      <c r="O1128" s="60">
        <f>O1129</f>
        <v>0</v>
      </c>
      <c r="P1128" s="133"/>
      <c r="Q1128" s="60">
        <f>Q1129</f>
        <v>0</v>
      </c>
    </row>
    <row r="1129" spans="2:17" ht="47.25">
      <c r="B1129" s="109" t="s">
        <v>322</v>
      </c>
      <c r="C1129" s="97" t="s">
        <v>448</v>
      </c>
      <c r="D1129" s="97" t="s">
        <v>92</v>
      </c>
      <c r="E1129" s="97" t="s">
        <v>262</v>
      </c>
      <c r="F1129" s="97" t="s">
        <v>327</v>
      </c>
      <c r="G1129" s="60">
        <v>0</v>
      </c>
      <c r="H1129" s="3">
        <v>42420</v>
      </c>
      <c r="I1129" s="60">
        <f>G1129+H1129</f>
        <v>42420</v>
      </c>
      <c r="J1129" s="3">
        <v>-42420</v>
      </c>
      <c r="K1129" s="60">
        <f>I1129+J1129</f>
        <v>0</v>
      </c>
      <c r="L1129" s="133"/>
      <c r="M1129" s="60">
        <f>K1129+L1129</f>
        <v>0</v>
      </c>
      <c r="N1129" s="133"/>
      <c r="O1129" s="60">
        <f>M1129+N1129</f>
        <v>0</v>
      </c>
      <c r="P1129" s="133"/>
      <c r="Q1129" s="60">
        <f>O1129+P1129</f>
        <v>0</v>
      </c>
    </row>
    <row r="1130" spans="2:17" ht="31.5">
      <c r="B1130" s="31" t="s">
        <v>382</v>
      </c>
      <c r="C1130" s="44"/>
      <c r="D1130" s="44" t="s">
        <v>92</v>
      </c>
      <c r="E1130" s="44" t="s">
        <v>287</v>
      </c>
      <c r="F1130" s="44" t="s">
        <v>328</v>
      </c>
      <c r="G1130" s="60">
        <v>0</v>
      </c>
      <c r="H1130" s="40"/>
      <c r="I1130" s="60">
        <f>G1130+H1130</f>
        <v>0</v>
      </c>
      <c r="J1130" s="40"/>
      <c r="K1130" s="60">
        <f>I1130+J1130</f>
        <v>0</v>
      </c>
      <c r="L1130" s="135"/>
      <c r="M1130" s="60">
        <f>K1130+L1130</f>
        <v>0</v>
      </c>
      <c r="N1130" s="135"/>
      <c r="O1130" s="60">
        <f>M1130+N1130</f>
        <v>0</v>
      </c>
      <c r="P1130" s="135"/>
      <c r="Q1130" s="60">
        <f>O1130+P1130</f>
        <v>0</v>
      </c>
    </row>
    <row r="1131" spans="2:17" ht="31.5">
      <c r="B1131" s="12" t="s">
        <v>222</v>
      </c>
      <c r="C1131" s="6"/>
      <c r="D1131" s="44" t="s">
        <v>220</v>
      </c>
      <c r="E1131" s="6"/>
      <c r="F1131" s="6"/>
      <c r="G1131" s="60" t="e">
        <f>#REF!+G1138+G1132</f>
        <v>#REF!</v>
      </c>
      <c r="H1131" s="3"/>
      <c r="I1131" s="60">
        <f>I1138+I1132</f>
        <v>1947900</v>
      </c>
      <c r="J1131" s="3"/>
      <c r="K1131" s="60">
        <f>K1138+K1132</f>
        <v>3764320</v>
      </c>
      <c r="L1131" s="133"/>
      <c r="M1131" s="60">
        <f>M1138+M1132</f>
        <v>3764825.5</v>
      </c>
      <c r="N1131" s="133"/>
      <c r="O1131" s="60">
        <f>O1138+O1132+O1150</f>
        <v>11479328.57</v>
      </c>
      <c r="P1131" s="133"/>
      <c r="Q1131" s="60">
        <f>Q1138+Q1132+Q1150</f>
        <v>11421328.57</v>
      </c>
    </row>
    <row r="1132" spans="2:17" ht="15.75">
      <c r="B1132" s="12" t="s">
        <v>9</v>
      </c>
      <c r="C1132" s="6"/>
      <c r="D1132" s="44" t="s">
        <v>220</v>
      </c>
      <c r="E1132" s="6" t="s">
        <v>120</v>
      </c>
      <c r="F1132" s="6"/>
      <c r="G1132" s="60">
        <f>G1133+G1134+G1136</f>
        <v>0</v>
      </c>
      <c r="H1132" s="3"/>
      <c r="I1132" s="60">
        <f>I1133+I1134+I1136+I1135</f>
        <v>439900</v>
      </c>
      <c r="J1132" s="3"/>
      <c r="K1132" s="60">
        <f>K1133+K1134+K1136+K1135</f>
        <v>439900</v>
      </c>
      <c r="L1132" s="133"/>
      <c r="M1132" s="60">
        <f>M1133+M1134+M1136+M1135+M1137</f>
        <v>439900</v>
      </c>
      <c r="N1132" s="133"/>
      <c r="O1132" s="60">
        <f>O1133+O1134+O1136+O1135+O1137</f>
        <v>439900</v>
      </c>
      <c r="P1132" s="133"/>
      <c r="Q1132" s="60">
        <f>Q1133+Q1134+Q1136+Q1135+Q1137</f>
        <v>439900</v>
      </c>
    </row>
    <row r="1133" spans="2:17" ht="18" customHeight="1">
      <c r="B1133" s="31" t="s">
        <v>320</v>
      </c>
      <c r="C1133" s="6"/>
      <c r="D1133" s="44" t="s">
        <v>220</v>
      </c>
      <c r="E1133" s="6" t="s">
        <v>120</v>
      </c>
      <c r="F1133" s="6" t="s">
        <v>353</v>
      </c>
      <c r="G1133" s="60">
        <v>0</v>
      </c>
      <c r="H1133" s="3">
        <v>426546</v>
      </c>
      <c r="I1133" s="60">
        <f>G1133+H1133</f>
        <v>426546</v>
      </c>
      <c r="J1133" s="3">
        <v>0</v>
      </c>
      <c r="K1133" s="60">
        <f>I1133+J1133</f>
        <v>426546</v>
      </c>
      <c r="L1133" s="133"/>
      <c r="M1133" s="60">
        <f>K1133+L1133</f>
        <v>426546</v>
      </c>
      <c r="N1133" s="133"/>
      <c r="O1133" s="60">
        <f>M1133+N1133</f>
        <v>426546</v>
      </c>
      <c r="P1133" s="133"/>
      <c r="Q1133" s="60">
        <f>O1133+P1133</f>
        <v>426546</v>
      </c>
    </row>
    <row r="1134" spans="2:17" ht="31.5">
      <c r="B1134" s="31" t="s">
        <v>321</v>
      </c>
      <c r="C1134" s="6"/>
      <c r="D1134" s="44" t="s">
        <v>220</v>
      </c>
      <c r="E1134" s="6" t="s">
        <v>120</v>
      </c>
      <c r="F1134" s="6" t="s">
        <v>354</v>
      </c>
      <c r="G1134" s="60">
        <v>0</v>
      </c>
      <c r="H1134" s="3">
        <v>4800</v>
      </c>
      <c r="I1134" s="60">
        <f>G1134+H1134</f>
        <v>4800</v>
      </c>
      <c r="J1134" s="3">
        <v>0</v>
      </c>
      <c r="K1134" s="60">
        <f>I1134+J1134</f>
        <v>4800</v>
      </c>
      <c r="L1134" s="133"/>
      <c r="M1134" s="60">
        <f>K1134+L1134</f>
        <v>4800</v>
      </c>
      <c r="N1134" s="133"/>
      <c r="O1134" s="60">
        <f>M1134+N1134</f>
        <v>4800</v>
      </c>
      <c r="P1134" s="133"/>
      <c r="Q1134" s="60">
        <f>O1134+P1134</f>
        <v>4800</v>
      </c>
    </row>
    <row r="1135" spans="2:17" ht="47.25">
      <c r="B1135" s="109" t="s">
        <v>322</v>
      </c>
      <c r="C1135" s="6"/>
      <c r="D1135" s="101" t="s">
        <v>220</v>
      </c>
      <c r="E1135" s="103" t="s">
        <v>120</v>
      </c>
      <c r="F1135" s="103" t="s">
        <v>327</v>
      </c>
      <c r="G1135" s="60"/>
      <c r="H1135" s="3">
        <v>7660</v>
      </c>
      <c r="I1135" s="60">
        <v>7600</v>
      </c>
      <c r="J1135" s="3">
        <v>0</v>
      </c>
      <c r="K1135" s="60">
        <f>I1135+J1135</f>
        <v>7600</v>
      </c>
      <c r="L1135" s="133">
        <v>250</v>
      </c>
      <c r="M1135" s="60">
        <f>K1135+L1135</f>
        <v>7850</v>
      </c>
      <c r="N1135" s="133">
        <v>0</v>
      </c>
      <c r="O1135" s="60">
        <f>M1135+N1135</f>
        <v>7850</v>
      </c>
      <c r="P1135" s="133"/>
      <c r="Q1135" s="60">
        <f>O1135+P1135</f>
        <v>7850</v>
      </c>
    </row>
    <row r="1136" spans="2:17" ht="31.5">
      <c r="B1136" s="31" t="s">
        <v>382</v>
      </c>
      <c r="C1136" s="6"/>
      <c r="D1136" s="44" t="s">
        <v>220</v>
      </c>
      <c r="E1136" s="6" t="s">
        <v>428</v>
      </c>
      <c r="F1136" s="6" t="s">
        <v>328</v>
      </c>
      <c r="G1136" s="60">
        <v>0</v>
      </c>
      <c r="H1136" s="3">
        <v>894</v>
      </c>
      <c r="I1136" s="60">
        <v>954</v>
      </c>
      <c r="J1136" s="3">
        <v>0</v>
      </c>
      <c r="K1136" s="60">
        <f>I1136+J1136</f>
        <v>954</v>
      </c>
      <c r="L1136" s="133">
        <v>-250.01</v>
      </c>
      <c r="M1136" s="60">
        <f>K1136+L1136</f>
        <v>703.99</v>
      </c>
      <c r="N1136" s="133">
        <v>0</v>
      </c>
      <c r="O1136" s="60">
        <f>M1136+N1136</f>
        <v>703.99</v>
      </c>
      <c r="P1136" s="133"/>
      <c r="Q1136" s="60">
        <f>O1136+P1136</f>
        <v>703.99</v>
      </c>
    </row>
    <row r="1137" spans="2:17" ht="31.5">
      <c r="B1137" s="31" t="s">
        <v>355</v>
      </c>
      <c r="C1137" s="6"/>
      <c r="D1137" s="44" t="s">
        <v>220</v>
      </c>
      <c r="E1137" s="6" t="s">
        <v>428</v>
      </c>
      <c r="F1137" s="103" t="s">
        <v>329</v>
      </c>
      <c r="G1137" s="60"/>
      <c r="H1137" s="3"/>
      <c r="I1137" s="60"/>
      <c r="J1137" s="3"/>
      <c r="K1137" s="60"/>
      <c r="L1137" s="133">
        <v>0.01</v>
      </c>
      <c r="M1137" s="60">
        <f>K1137+L1137</f>
        <v>0.01</v>
      </c>
      <c r="N1137" s="133">
        <v>0</v>
      </c>
      <c r="O1137" s="60">
        <f>M1137+N1137</f>
        <v>0.01</v>
      </c>
      <c r="P1137" s="133"/>
      <c r="Q1137" s="60">
        <f>O1137+P1137</f>
        <v>0.01</v>
      </c>
    </row>
    <row r="1138" spans="2:17" ht="18.75" customHeight="1">
      <c r="B1138" s="23" t="s">
        <v>313</v>
      </c>
      <c r="C1138" s="6"/>
      <c r="D1138" s="44" t="s">
        <v>220</v>
      </c>
      <c r="E1138" s="6" t="s">
        <v>104</v>
      </c>
      <c r="F1138" s="6"/>
      <c r="G1138" s="60">
        <f>G1139+G1143+G1145+G1148</f>
        <v>0</v>
      </c>
      <c r="H1138" s="3"/>
      <c r="I1138" s="60">
        <f>I1139+I1143+I1145+I1148</f>
        <v>1508000</v>
      </c>
      <c r="J1138" s="3">
        <v>0</v>
      </c>
      <c r="K1138" s="60">
        <f>K1139+K1143+K1145+K1148+K1141</f>
        <v>3324420</v>
      </c>
      <c r="L1138" s="133"/>
      <c r="M1138" s="60">
        <f>M1139+M1143+M1145+M1148+M1141</f>
        <v>3324925.5</v>
      </c>
      <c r="N1138" s="133"/>
      <c r="O1138" s="60">
        <f>O1139+O1143+O1145+O1148+O1141</f>
        <v>3319428.57</v>
      </c>
      <c r="P1138" s="133"/>
      <c r="Q1138" s="60">
        <f>Q1139+Q1143+Q1145+Q1148+Q1141</f>
        <v>3261428.57</v>
      </c>
    </row>
    <row r="1139" spans="2:17" ht="15.75">
      <c r="B1139" s="109" t="s">
        <v>580</v>
      </c>
      <c r="C1139" s="6"/>
      <c r="D1139" s="44" t="s">
        <v>220</v>
      </c>
      <c r="E1139" s="6" t="s">
        <v>261</v>
      </c>
      <c r="F1139" s="6"/>
      <c r="G1139" s="60">
        <f>G1140</f>
        <v>0</v>
      </c>
      <c r="H1139" s="3"/>
      <c r="I1139" s="60">
        <f>I1140</f>
        <v>600000</v>
      </c>
      <c r="J1139" s="3"/>
      <c r="K1139" s="60">
        <f>K1140</f>
        <v>600000</v>
      </c>
      <c r="L1139" s="133"/>
      <c r="M1139" s="60">
        <f>M1140</f>
        <v>600000</v>
      </c>
      <c r="N1139" s="133"/>
      <c r="O1139" s="60">
        <f>O1140</f>
        <v>600000</v>
      </c>
      <c r="P1139" s="133"/>
      <c r="Q1139" s="60">
        <f>Q1140</f>
        <v>600000</v>
      </c>
    </row>
    <row r="1140" spans="2:17" ht="15.75">
      <c r="B1140" s="31" t="s">
        <v>334</v>
      </c>
      <c r="C1140" s="6"/>
      <c r="D1140" s="44" t="s">
        <v>220</v>
      </c>
      <c r="E1140" s="6" t="s">
        <v>261</v>
      </c>
      <c r="F1140" s="6" t="s">
        <v>335</v>
      </c>
      <c r="G1140" s="60">
        <v>0</v>
      </c>
      <c r="H1140" s="3">
        <v>600000</v>
      </c>
      <c r="I1140" s="60">
        <f>G1140+H1140</f>
        <v>600000</v>
      </c>
      <c r="J1140" s="3">
        <v>0</v>
      </c>
      <c r="K1140" s="60">
        <f>I1140+J1140</f>
        <v>600000</v>
      </c>
      <c r="L1140" s="133"/>
      <c r="M1140" s="60">
        <f>K1140+L1140</f>
        <v>600000</v>
      </c>
      <c r="N1140" s="133"/>
      <c r="O1140" s="60">
        <f>M1140+N1140</f>
        <v>600000</v>
      </c>
      <c r="P1140" s="133"/>
      <c r="Q1140" s="60">
        <f>O1140+P1140</f>
        <v>600000</v>
      </c>
    </row>
    <row r="1141" spans="2:17" ht="33" customHeight="1">
      <c r="B1141" s="96" t="s">
        <v>312</v>
      </c>
      <c r="C1141" s="97" t="s">
        <v>448</v>
      </c>
      <c r="D1141" s="97" t="s">
        <v>220</v>
      </c>
      <c r="E1141" s="97" t="s">
        <v>262</v>
      </c>
      <c r="F1141" s="97"/>
      <c r="G1141" s="60"/>
      <c r="H1141" s="3"/>
      <c r="I1141" s="60"/>
      <c r="J1141" s="3"/>
      <c r="K1141" s="60">
        <f>K1142</f>
        <v>42420</v>
      </c>
      <c r="L1141" s="133"/>
      <c r="M1141" s="60">
        <f>M1142</f>
        <v>42925.5</v>
      </c>
      <c r="N1141" s="133"/>
      <c r="O1141" s="60">
        <f>O1142</f>
        <v>37428.57</v>
      </c>
      <c r="P1141" s="133"/>
      <c r="Q1141" s="60">
        <f>Q1142</f>
        <v>37428.57</v>
      </c>
    </row>
    <row r="1142" spans="2:17" ht="47.25">
      <c r="B1142" s="109" t="s">
        <v>322</v>
      </c>
      <c r="C1142" s="97" t="s">
        <v>448</v>
      </c>
      <c r="D1142" s="97" t="s">
        <v>220</v>
      </c>
      <c r="E1142" s="97" t="s">
        <v>262</v>
      </c>
      <c r="F1142" s="97" t="s">
        <v>327</v>
      </c>
      <c r="G1142" s="60"/>
      <c r="H1142" s="3"/>
      <c r="I1142" s="60"/>
      <c r="J1142" s="3">
        <v>42420</v>
      </c>
      <c r="K1142" s="60">
        <f>I1142+J1142</f>
        <v>42420</v>
      </c>
      <c r="L1142" s="133">
        <v>505.5</v>
      </c>
      <c r="M1142" s="60">
        <f>K1142+L1142</f>
        <v>42925.5</v>
      </c>
      <c r="N1142" s="133">
        <v>-5496.93</v>
      </c>
      <c r="O1142" s="60">
        <f>M1142+N1142</f>
        <v>37428.57</v>
      </c>
      <c r="P1142" s="133"/>
      <c r="Q1142" s="60">
        <f>O1142+P1142</f>
        <v>37428.57</v>
      </c>
    </row>
    <row r="1143" spans="2:17" ht="110.25">
      <c r="B1143" s="99" t="s">
        <v>463</v>
      </c>
      <c r="C1143" s="6"/>
      <c r="D1143" s="44" t="s">
        <v>220</v>
      </c>
      <c r="E1143" s="103" t="s">
        <v>268</v>
      </c>
      <c r="F1143" s="6"/>
      <c r="G1143" s="60">
        <f>G1144</f>
        <v>0</v>
      </c>
      <c r="H1143" s="3"/>
      <c r="I1143" s="60">
        <f>I1144</f>
        <v>58000</v>
      </c>
      <c r="J1143" s="3"/>
      <c r="K1143" s="60">
        <f>K1144</f>
        <v>58000</v>
      </c>
      <c r="L1143" s="133"/>
      <c r="M1143" s="60">
        <f>M1144</f>
        <v>58000</v>
      </c>
      <c r="N1143" s="133"/>
      <c r="O1143" s="60">
        <f>O1144</f>
        <v>58000</v>
      </c>
      <c r="P1143" s="133"/>
      <c r="Q1143" s="60">
        <f>Q1144</f>
        <v>0</v>
      </c>
    </row>
    <row r="1144" spans="2:17" ht="18" customHeight="1">
      <c r="B1144" s="96" t="s">
        <v>334</v>
      </c>
      <c r="C1144" s="6"/>
      <c r="D1144" s="44" t="s">
        <v>220</v>
      </c>
      <c r="E1144" s="103" t="s">
        <v>268</v>
      </c>
      <c r="F1144" s="6" t="s">
        <v>335</v>
      </c>
      <c r="G1144" s="60">
        <v>0</v>
      </c>
      <c r="H1144" s="3">
        <v>58000</v>
      </c>
      <c r="I1144" s="60">
        <f>G1144+H1144</f>
        <v>58000</v>
      </c>
      <c r="J1144" s="3">
        <v>0</v>
      </c>
      <c r="K1144" s="60">
        <f>I1144+J1144</f>
        <v>58000</v>
      </c>
      <c r="L1144" s="133"/>
      <c r="M1144" s="60">
        <f>K1144+L1144</f>
        <v>58000</v>
      </c>
      <c r="N1144" s="133"/>
      <c r="O1144" s="60">
        <f>M1144+N1144</f>
        <v>58000</v>
      </c>
      <c r="P1144" s="133">
        <v>-58000</v>
      </c>
      <c r="Q1144" s="60">
        <f>O1144+P1144</f>
        <v>0</v>
      </c>
    </row>
    <row r="1145" spans="2:17" ht="47.25">
      <c r="B1145" s="12" t="s">
        <v>576</v>
      </c>
      <c r="C1145" s="6"/>
      <c r="D1145" s="44" t="s">
        <v>220</v>
      </c>
      <c r="E1145" s="6" t="s">
        <v>285</v>
      </c>
      <c r="F1145" s="6"/>
      <c r="G1145" s="60">
        <f>G1147+G1146</f>
        <v>0</v>
      </c>
      <c r="H1145" s="3"/>
      <c r="I1145" s="60">
        <f>I1147+I1146</f>
        <v>850000</v>
      </c>
      <c r="J1145" s="3"/>
      <c r="K1145" s="60">
        <f>K1147+K1146</f>
        <v>2624000</v>
      </c>
      <c r="L1145" s="133"/>
      <c r="M1145" s="60">
        <f>M1147+M1146</f>
        <v>2624000</v>
      </c>
      <c r="N1145" s="133"/>
      <c r="O1145" s="60">
        <f>O1147+O1146</f>
        <v>2624000</v>
      </c>
      <c r="P1145" s="133"/>
      <c r="Q1145" s="60">
        <f>Q1147+Q1146</f>
        <v>2624000</v>
      </c>
    </row>
    <row r="1146" spans="2:17" ht="31.5">
      <c r="B1146" s="12" t="s">
        <v>332</v>
      </c>
      <c r="C1146" s="6"/>
      <c r="D1146" s="44" t="s">
        <v>220</v>
      </c>
      <c r="E1146" s="6" t="s">
        <v>285</v>
      </c>
      <c r="F1146" s="6" t="s">
        <v>331</v>
      </c>
      <c r="G1146" s="60">
        <v>0</v>
      </c>
      <c r="H1146" s="3">
        <v>300000</v>
      </c>
      <c r="I1146" s="60">
        <v>300000</v>
      </c>
      <c r="J1146" s="3">
        <v>1744000</v>
      </c>
      <c r="K1146" s="60">
        <f>I1146+J1146</f>
        <v>2044000</v>
      </c>
      <c r="L1146" s="133"/>
      <c r="M1146" s="60">
        <f>K1146+L1146</f>
        <v>2044000</v>
      </c>
      <c r="N1146" s="133"/>
      <c r="O1146" s="60">
        <f>M1146+N1146</f>
        <v>2044000</v>
      </c>
      <c r="P1146" s="133"/>
      <c r="Q1146" s="60">
        <f>O1146+P1146</f>
        <v>2044000</v>
      </c>
    </row>
    <row r="1147" spans="2:17" ht="15.75">
      <c r="B1147" s="31" t="s">
        <v>334</v>
      </c>
      <c r="C1147" s="6"/>
      <c r="D1147" s="44" t="s">
        <v>220</v>
      </c>
      <c r="E1147" s="6" t="s">
        <v>285</v>
      </c>
      <c r="F1147" s="6" t="s">
        <v>335</v>
      </c>
      <c r="G1147" s="60">
        <v>0</v>
      </c>
      <c r="H1147" s="3">
        <v>550000</v>
      </c>
      <c r="I1147" s="60">
        <f>G1147+H1147</f>
        <v>550000</v>
      </c>
      <c r="J1147" s="3">
        <v>30000</v>
      </c>
      <c r="K1147" s="60">
        <f>I1147+J1147</f>
        <v>580000</v>
      </c>
      <c r="L1147" s="133"/>
      <c r="M1147" s="60">
        <f>K1147+L1147</f>
        <v>580000</v>
      </c>
      <c r="N1147" s="133"/>
      <c r="O1147" s="60">
        <f>M1147+N1147</f>
        <v>580000</v>
      </c>
      <c r="P1147" s="133"/>
      <c r="Q1147" s="60">
        <f>O1147+P1147</f>
        <v>580000</v>
      </c>
    </row>
    <row r="1148" spans="2:17" ht="33.75" customHeight="1" hidden="1">
      <c r="B1148" s="99" t="s">
        <v>463</v>
      </c>
      <c r="C1148" s="103" t="s">
        <v>448</v>
      </c>
      <c r="D1148" s="103" t="s">
        <v>220</v>
      </c>
      <c r="E1148" s="103"/>
      <c r="F1148" s="103"/>
      <c r="G1148" s="60">
        <f>G1149</f>
        <v>0</v>
      </c>
      <c r="H1148" s="3"/>
      <c r="I1148" s="60">
        <f>I1149</f>
        <v>0</v>
      </c>
      <c r="J1148" s="3"/>
      <c r="K1148" s="60">
        <f>K1149</f>
        <v>0</v>
      </c>
      <c r="L1148" s="133"/>
      <c r="M1148" s="60">
        <f>M1149</f>
        <v>0</v>
      </c>
      <c r="N1148" s="133"/>
      <c r="O1148" s="60">
        <f>O1149</f>
        <v>0</v>
      </c>
      <c r="P1148" s="133"/>
      <c r="Q1148" s="60">
        <f>Q1149</f>
        <v>0</v>
      </c>
    </row>
    <row r="1149" spans="2:17" ht="15" customHeight="1" hidden="1">
      <c r="B1149" s="96" t="s">
        <v>334</v>
      </c>
      <c r="C1149" s="103" t="s">
        <v>448</v>
      </c>
      <c r="D1149" s="103" t="s">
        <v>220</v>
      </c>
      <c r="E1149" s="103"/>
      <c r="F1149" s="103" t="s">
        <v>335</v>
      </c>
      <c r="G1149" s="60">
        <f>+H1149</f>
        <v>0</v>
      </c>
      <c r="H1149" s="3"/>
      <c r="I1149" s="60">
        <f>G1149+H1149</f>
        <v>0</v>
      </c>
      <c r="J1149" s="3"/>
      <c r="K1149" s="60">
        <f>I1149+J1149</f>
        <v>0</v>
      </c>
      <c r="L1149" s="133"/>
      <c r="M1149" s="60">
        <f>K1149+L1149</f>
        <v>0</v>
      </c>
      <c r="N1149" s="133"/>
      <c r="O1149" s="60">
        <f>M1149+N1149</f>
        <v>0</v>
      </c>
      <c r="P1149" s="133"/>
      <c r="Q1149" s="60">
        <f>O1149+P1149</f>
        <v>0</v>
      </c>
    </row>
    <row r="1150" spans="2:17" ht="78.75" customHeight="1">
      <c r="B1150" s="23" t="s">
        <v>310</v>
      </c>
      <c r="C1150" s="103"/>
      <c r="D1150" s="103" t="s">
        <v>220</v>
      </c>
      <c r="E1150" s="103" t="s">
        <v>287</v>
      </c>
      <c r="F1150" s="103"/>
      <c r="G1150" s="60"/>
      <c r="H1150" s="3"/>
      <c r="I1150" s="60"/>
      <c r="J1150" s="3"/>
      <c r="K1150" s="60"/>
      <c r="L1150" s="133"/>
      <c r="M1150" s="60"/>
      <c r="N1150" s="133"/>
      <c r="O1150" s="60">
        <f>O1151</f>
        <v>7720000</v>
      </c>
      <c r="P1150" s="133"/>
      <c r="Q1150" s="60">
        <f>Q1151</f>
        <v>7720000</v>
      </c>
    </row>
    <row r="1151" spans="2:17" ht="49.5" customHeight="1">
      <c r="B1151" s="96" t="s">
        <v>376</v>
      </c>
      <c r="C1151" s="103"/>
      <c r="D1151" s="103" t="s">
        <v>220</v>
      </c>
      <c r="E1151" s="103" t="s">
        <v>287</v>
      </c>
      <c r="F1151" s="103" t="s">
        <v>331</v>
      </c>
      <c r="G1151" s="60"/>
      <c r="H1151" s="3"/>
      <c r="I1151" s="60"/>
      <c r="J1151" s="3"/>
      <c r="K1151" s="60"/>
      <c r="L1151" s="133"/>
      <c r="M1151" s="60"/>
      <c r="N1151" s="133">
        <v>7720000</v>
      </c>
      <c r="O1151" s="60">
        <f>M1151+N1151</f>
        <v>7720000</v>
      </c>
      <c r="P1151" s="133"/>
      <c r="Q1151" s="60">
        <f>O1151+P1151</f>
        <v>7720000</v>
      </c>
    </row>
    <row r="1152" spans="2:17" ht="17.25" customHeight="1">
      <c r="B1152" s="82" t="s">
        <v>96</v>
      </c>
      <c r="C1152" s="6">
        <v>1000</v>
      </c>
      <c r="D1152" s="47" t="s">
        <v>175</v>
      </c>
      <c r="E1152" s="6"/>
      <c r="F1152" s="6"/>
      <c r="G1152" s="60" t="e">
        <f>G1153+G1157</f>
        <v>#REF!</v>
      </c>
      <c r="H1152" s="3"/>
      <c r="I1152" s="60">
        <f>I1153+I1157</f>
        <v>5539800</v>
      </c>
      <c r="J1152" s="3">
        <v>0</v>
      </c>
      <c r="K1152" s="60">
        <f>K1153+K1157</f>
        <v>5689800</v>
      </c>
      <c r="L1152" s="133"/>
      <c r="M1152" s="60">
        <f>M1153+M1157</f>
        <v>6494600</v>
      </c>
      <c r="N1152" s="133"/>
      <c r="O1152" s="60">
        <f>O1153+O1157+O1193</f>
        <v>6591316.52</v>
      </c>
      <c r="P1152" s="133"/>
      <c r="Q1152" s="60">
        <f>Q1153+Q1157+Q1193</f>
        <v>9981224.92</v>
      </c>
    </row>
    <row r="1153" spans="2:17" ht="15.75">
      <c r="B1153" s="18" t="s">
        <v>103</v>
      </c>
      <c r="C1153" s="6"/>
      <c r="D1153" s="44" t="s">
        <v>107</v>
      </c>
      <c r="E1153" s="6"/>
      <c r="F1153" s="6"/>
      <c r="G1153" s="60">
        <f>G1154</f>
        <v>0</v>
      </c>
      <c r="H1153" s="3"/>
      <c r="I1153" s="60">
        <f>I1154</f>
        <v>4747900</v>
      </c>
      <c r="J1153" s="3"/>
      <c r="K1153" s="60">
        <f>K1154</f>
        <v>4747900</v>
      </c>
      <c r="L1153" s="133"/>
      <c r="M1153" s="60">
        <f>M1154</f>
        <v>4747900</v>
      </c>
      <c r="N1153" s="133"/>
      <c r="O1153" s="60">
        <f>O1154</f>
        <v>4844616.52</v>
      </c>
      <c r="P1153" s="133"/>
      <c r="Q1153" s="60">
        <f>Q1154</f>
        <v>4844616.52</v>
      </c>
    </row>
    <row r="1154" spans="2:17" ht="31.5">
      <c r="B1154" s="18" t="s">
        <v>109</v>
      </c>
      <c r="C1154" s="6"/>
      <c r="D1154" s="44" t="s">
        <v>107</v>
      </c>
      <c r="E1154" s="6" t="s">
        <v>110</v>
      </c>
      <c r="F1154" s="6"/>
      <c r="G1154" s="60">
        <f>G1155</f>
        <v>0</v>
      </c>
      <c r="H1154" s="3"/>
      <c r="I1154" s="60">
        <f>I1155</f>
        <v>4747900</v>
      </c>
      <c r="J1154" s="3"/>
      <c r="K1154" s="60">
        <f>K1155</f>
        <v>4747900</v>
      </c>
      <c r="L1154" s="133"/>
      <c r="M1154" s="60">
        <f>M1155</f>
        <v>4747900</v>
      </c>
      <c r="N1154" s="133"/>
      <c r="O1154" s="60">
        <f>O1155</f>
        <v>4844616.52</v>
      </c>
      <c r="P1154" s="133"/>
      <c r="Q1154" s="60">
        <f>Q1155</f>
        <v>4844616.52</v>
      </c>
    </row>
    <row r="1155" spans="2:17" ht="48" customHeight="1">
      <c r="B1155" s="18" t="s">
        <v>108</v>
      </c>
      <c r="C1155" s="6"/>
      <c r="D1155" s="44" t="s">
        <v>107</v>
      </c>
      <c r="E1155" s="6" t="s">
        <v>111</v>
      </c>
      <c r="F1155" s="6"/>
      <c r="G1155" s="60">
        <f>G1156</f>
        <v>0</v>
      </c>
      <c r="H1155" s="3"/>
      <c r="I1155" s="60">
        <f>I1156</f>
        <v>4747900</v>
      </c>
      <c r="J1155" s="3"/>
      <c r="K1155" s="60">
        <f>K1156</f>
        <v>4747900</v>
      </c>
      <c r="L1155" s="133"/>
      <c r="M1155" s="60">
        <f>M1156</f>
        <v>4747900</v>
      </c>
      <c r="N1155" s="133"/>
      <c r="O1155" s="60">
        <f>O1156</f>
        <v>4844616.52</v>
      </c>
      <c r="P1155" s="133"/>
      <c r="Q1155" s="60">
        <f>Q1156</f>
        <v>4844616.52</v>
      </c>
    </row>
    <row r="1156" spans="2:17" ht="33.75" customHeight="1">
      <c r="B1156" s="12" t="s">
        <v>363</v>
      </c>
      <c r="C1156" s="6" t="s">
        <v>231</v>
      </c>
      <c r="D1156" s="6" t="s">
        <v>107</v>
      </c>
      <c r="E1156" s="6" t="s">
        <v>111</v>
      </c>
      <c r="F1156" s="6" t="s">
        <v>364</v>
      </c>
      <c r="G1156" s="60">
        <v>0</v>
      </c>
      <c r="H1156" s="3">
        <v>4747900</v>
      </c>
      <c r="I1156" s="60">
        <f>G1156+H1156</f>
        <v>4747900</v>
      </c>
      <c r="J1156" s="3">
        <v>0</v>
      </c>
      <c r="K1156" s="60">
        <f>I1156+J1156</f>
        <v>4747900</v>
      </c>
      <c r="L1156" s="133"/>
      <c r="M1156" s="60">
        <f>K1156+L1156</f>
        <v>4747900</v>
      </c>
      <c r="N1156" s="133">
        <v>96716.52</v>
      </c>
      <c r="O1156" s="60">
        <f>M1156+N1156</f>
        <v>4844616.52</v>
      </c>
      <c r="P1156" s="133"/>
      <c r="Q1156" s="60">
        <f>O1156+P1156</f>
        <v>4844616.52</v>
      </c>
    </row>
    <row r="1157" spans="2:17" ht="21" customHeight="1">
      <c r="B1157" s="18" t="s">
        <v>97</v>
      </c>
      <c r="C1157" s="6"/>
      <c r="D1157" s="44" t="s">
        <v>98</v>
      </c>
      <c r="E1157" s="6"/>
      <c r="F1157" s="6"/>
      <c r="G1157" s="60" t="e">
        <f>G1158+G1165+G1161+#REF!+G1169+G1163+G1171+#REF!+G1179+#REF!+G1167+G1180</f>
        <v>#REF!</v>
      </c>
      <c r="H1157" s="3"/>
      <c r="I1157" s="60">
        <f>I1158+I1165+I1161+I1169+I1163+I1171+I1179+I1167</f>
        <v>791900</v>
      </c>
      <c r="J1157" s="3"/>
      <c r="K1157" s="60">
        <f>K1158+K1165+K1161+K1169+K1163+K1171+K1179+K1167+K1194</f>
        <v>941900</v>
      </c>
      <c r="L1157" s="133"/>
      <c r="M1157" s="60">
        <f>M1158+M1165+M1161+M1169+M1163+M1171+M1179+M1167+M1194+M1186+M1176</f>
        <v>1746700</v>
      </c>
      <c r="N1157" s="133"/>
      <c r="O1157" s="60">
        <f>O1158+O1165+O1161+O1169+O1163+O1171+O1179+O1167+O1186+O1176</f>
        <v>1496700</v>
      </c>
      <c r="P1157" s="133"/>
      <c r="Q1157" s="60">
        <f>Q1158+Q1165+Q1161+Q1169+Q1163+Q1171+Q1179+Q1167+Q1186+Q1176+Q1174+Q1189+Q1191</f>
        <v>4886608.4</v>
      </c>
    </row>
    <row r="1158" spans="2:17" ht="0.75" customHeight="1" hidden="1">
      <c r="B1158" s="12" t="s">
        <v>99</v>
      </c>
      <c r="C1158" s="2"/>
      <c r="D1158" s="44">
        <v>1003</v>
      </c>
      <c r="E1158" s="2">
        <v>5140000</v>
      </c>
      <c r="F1158" s="2"/>
      <c r="G1158" s="60">
        <f>G1159</f>
        <v>0</v>
      </c>
      <c r="H1158" s="3"/>
      <c r="I1158" s="60">
        <f>I1159</f>
        <v>0</v>
      </c>
      <c r="J1158" s="3"/>
      <c r="K1158" s="60">
        <f>K1159</f>
        <v>0</v>
      </c>
      <c r="L1158" s="133"/>
      <c r="M1158" s="60">
        <f>M1159</f>
        <v>0</v>
      </c>
      <c r="N1158" s="133"/>
      <c r="O1158" s="60">
        <f>O1159</f>
        <v>0</v>
      </c>
      <c r="P1158" s="133"/>
      <c r="Q1158" s="60">
        <f>Q1159</f>
        <v>0</v>
      </c>
    </row>
    <row r="1159" spans="2:17" ht="2.25" customHeight="1" hidden="1">
      <c r="B1159" s="12" t="s">
        <v>100</v>
      </c>
      <c r="C1159" s="2"/>
      <c r="D1159" s="44">
        <v>1003</v>
      </c>
      <c r="E1159" s="2" t="s">
        <v>112</v>
      </c>
      <c r="F1159" s="2"/>
      <c r="G1159" s="60">
        <f>G1160</f>
        <v>0</v>
      </c>
      <c r="H1159" s="3"/>
      <c r="I1159" s="60">
        <f>I1160</f>
        <v>0</v>
      </c>
      <c r="J1159" s="3"/>
      <c r="K1159" s="60">
        <f>K1160</f>
        <v>0</v>
      </c>
      <c r="L1159" s="133"/>
      <c r="M1159" s="60">
        <f>M1160</f>
        <v>0</v>
      </c>
      <c r="N1159" s="133"/>
      <c r="O1159" s="60">
        <f>O1160</f>
        <v>0</v>
      </c>
      <c r="P1159" s="133"/>
      <c r="Q1159" s="60">
        <f>Q1160</f>
        <v>0</v>
      </c>
    </row>
    <row r="1160" spans="2:17" ht="12" customHeight="1" hidden="1">
      <c r="B1160" s="116" t="s">
        <v>150</v>
      </c>
      <c r="C1160" s="2"/>
      <c r="D1160" s="44">
        <v>1003</v>
      </c>
      <c r="E1160" s="2" t="s">
        <v>112</v>
      </c>
      <c r="F1160" s="115" t="s">
        <v>114</v>
      </c>
      <c r="G1160" s="60">
        <v>0</v>
      </c>
      <c r="H1160" s="3"/>
      <c r="I1160" s="60">
        <v>0</v>
      </c>
      <c r="J1160" s="3"/>
      <c r="K1160" s="60">
        <v>0</v>
      </c>
      <c r="L1160" s="133"/>
      <c r="M1160" s="60">
        <v>0</v>
      </c>
      <c r="N1160" s="133"/>
      <c r="O1160" s="60">
        <v>0</v>
      </c>
      <c r="P1160" s="133"/>
      <c r="Q1160" s="60">
        <v>0</v>
      </c>
    </row>
    <row r="1161" spans="2:17" ht="17.25" customHeight="1" hidden="1">
      <c r="B1161" s="11" t="s">
        <v>199</v>
      </c>
      <c r="C1161" s="6" t="s">
        <v>200</v>
      </c>
      <c r="D1161" s="6" t="s">
        <v>98</v>
      </c>
      <c r="E1161" s="6" t="s">
        <v>202</v>
      </c>
      <c r="F1161" s="6"/>
      <c r="G1161" s="71">
        <f>G1162</f>
        <v>0</v>
      </c>
      <c r="H1161" s="52"/>
      <c r="I1161" s="71">
        <f>I1162</f>
        <v>0</v>
      </c>
      <c r="J1161" s="52"/>
      <c r="K1161" s="71">
        <f>K1162</f>
        <v>0</v>
      </c>
      <c r="L1161" s="138"/>
      <c r="M1161" s="71">
        <f>M1162</f>
        <v>0</v>
      </c>
      <c r="N1161" s="138"/>
      <c r="O1161" s="71">
        <f>O1162</f>
        <v>0</v>
      </c>
      <c r="P1161" s="138"/>
      <c r="Q1161" s="71">
        <f>Q1162</f>
        <v>0</v>
      </c>
    </row>
    <row r="1162" spans="2:17" ht="18" customHeight="1" hidden="1">
      <c r="B1162" s="32" t="s">
        <v>345</v>
      </c>
      <c r="C1162" s="6" t="s">
        <v>200</v>
      </c>
      <c r="D1162" s="6" t="s">
        <v>98</v>
      </c>
      <c r="E1162" s="6" t="s">
        <v>202</v>
      </c>
      <c r="F1162" s="6" t="s">
        <v>347</v>
      </c>
      <c r="G1162" s="71">
        <v>0</v>
      </c>
      <c r="H1162" s="52">
        <v>0</v>
      </c>
      <c r="I1162" s="71">
        <f>H1162+G1162</f>
        <v>0</v>
      </c>
      <c r="J1162" s="52">
        <v>0</v>
      </c>
      <c r="K1162" s="71">
        <f>J1162+I1162</f>
        <v>0</v>
      </c>
      <c r="L1162" s="138"/>
      <c r="M1162" s="71">
        <f>L1162+K1162</f>
        <v>0</v>
      </c>
      <c r="N1162" s="138"/>
      <c r="O1162" s="71">
        <f>N1162+M1162</f>
        <v>0</v>
      </c>
      <c r="P1162" s="138"/>
      <c r="Q1162" s="71">
        <f>P1162+O1162</f>
        <v>0</v>
      </c>
    </row>
    <row r="1163" spans="2:17" ht="23.25" customHeight="1" hidden="1">
      <c r="B1163" s="11" t="s">
        <v>199</v>
      </c>
      <c r="C1163" s="6"/>
      <c r="D1163" s="6" t="s">
        <v>98</v>
      </c>
      <c r="E1163" s="6" t="s">
        <v>215</v>
      </c>
      <c r="F1163" s="6"/>
      <c r="G1163" s="60">
        <f>G1164</f>
        <v>0</v>
      </c>
      <c r="H1163" s="52"/>
      <c r="I1163" s="60">
        <f>I1164</f>
        <v>0</v>
      </c>
      <c r="J1163" s="52"/>
      <c r="K1163" s="60">
        <f>K1164</f>
        <v>0</v>
      </c>
      <c r="L1163" s="138"/>
      <c r="M1163" s="60">
        <f>M1164</f>
        <v>0</v>
      </c>
      <c r="N1163" s="138"/>
      <c r="O1163" s="60">
        <f>O1164</f>
        <v>0</v>
      </c>
      <c r="P1163" s="138"/>
      <c r="Q1163" s="60">
        <f>Q1164</f>
        <v>0</v>
      </c>
    </row>
    <row r="1164" spans="2:17" ht="18.75" customHeight="1" hidden="1">
      <c r="B1164" s="32" t="s">
        <v>345</v>
      </c>
      <c r="C1164" s="6"/>
      <c r="D1164" s="6" t="s">
        <v>98</v>
      </c>
      <c r="E1164" s="6" t="s">
        <v>215</v>
      </c>
      <c r="F1164" s="6" t="s">
        <v>347</v>
      </c>
      <c r="G1164" s="60">
        <v>0</v>
      </c>
      <c r="H1164" s="52">
        <v>0</v>
      </c>
      <c r="I1164" s="60">
        <f>G1164+H1164</f>
        <v>0</v>
      </c>
      <c r="J1164" s="52">
        <v>0</v>
      </c>
      <c r="K1164" s="60">
        <f>I1164+J1164</f>
        <v>0</v>
      </c>
      <c r="L1164" s="138"/>
      <c r="M1164" s="60">
        <f>K1164+L1164</f>
        <v>0</v>
      </c>
      <c r="N1164" s="138"/>
      <c r="O1164" s="60">
        <f>M1164+N1164</f>
        <v>0</v>
      </c>
      <c r="P1164" s="138"/>
      <c r="Q1164" s="60">
        <f>O1164+P1164</f>
        <v>0</v>
      </c>
    </row>
    <row r="1165" spans="2:17" ht="18.75" customHeight="1" hidden="1">
      <c r="B1165" s="51" t="s">
        <v>99</v>
      </c>
      <c r="C1165" s="6"/>
      <c r="D1165" s="44" t="s">
        <v>98</v>
      </c>
      <c r="E1165" s="6" t="s">
        <v>198</v>
      </c>
      <c r="F1165" s="6"/>
      <c r="G1165" s="60">
        <f>G1166</f>
        <v>0</v>
      </c>
      <c r="H1165" s="3"/>
      <c r="I1165" s="60">
        <f>I1166</f>
        <v>0</v>
      </c>
      <c r="J1165" s="3"/>
      <c r="K1165" s="60">
        <f>K1166</f>
        <v>0</v>
      </c>
      <c r="L1165" s="133"/>
      <c r="M1165" s="60">
        <f>M1166</f>
        <v>0</v>
      </c>
      <c r="N1165" s="133"/>
      <c r="O1165" s="60">
        <f>O1166</f>
        <v>0</v>
      </c>
      <c r="P1165" s="133"/>
      <c r="Q1165" s="60">
        <f>Q1166</f>
        <v>0</v>
      </c>
    </row>
    <row r="1166" spans="2:17" ht="18.75" customHeight="1" hidden="1">
      <c r="B1166" s="51" t="s">
        <v>334</v>
      </c>
      <c r="C1166" s="6"/>
      <c r="D1166" s="44" t="s">
        <v>98</v>
      </c>
      <c r="E1166" s="6" t="s">
        <v>209</v>
      </c>
      <c r="F1166" s="6" t="s">
        <v>335</v>
      </c>
      <c r="G1166" s="60">
        <v>0</v>
      </c>
      <c r="H1166" s="3"/>
      <c r="I1166" s="60">
        <f>G1166+H1166</f>
        <v>0</v>
      </c>
      <c r="J1166" s="3"/>
      <c r="K1166" s="60">
        <f>I1166+J1166</f>
        <v>0</v>
      </c>
      <c r="L1166" s="133"/>
      <c r="M1166" s="60">
        <f>K1166+L1166</f>
        <v>0</v>
      </c>
      <c r="N1166" s="133"/>
      <c r="O1166" s="60">
        <f>M1166+N1166</f>
        <v>0</v>
      </c>
      <c r="P1166" s="133"/>
      <c r="Q1166" s="60">
        <f>O1166+P1166</f>
        <v>0</v>
      </c>
    </row>
    <row r="1167" spans="2:17" ht="18" customHeight="1" hidden="1">
      <c r="B1167" s="12" t="s">
        <v>164</v>
      </c>
      <c r="C1167" s="6"/>
      <c r="D1167" s="44" t="s">
        <v>98</v>
      </c>
      <c r="E1167" s="6" t="s">
        <v>294</v>
      </c>
      <c r="F1167" s="6"/>
      <c r="G1167" s="70">
        <f>G1168</f>
        <v>0</v>
      </c>
      <c r="H1167" s="52"/>
      <c r="I1167" s="70">
        <f>I1168</f>
        <v>0</v>
      </c>
      <c r="J1167" s="52"/>
      <c r="K1167" s="70">
        <f>K1168</f>
        <v>0</v>
      </c>
      <c r="L1167" s="138"/>
      <c r="M1167" s="70">
        <f>M1168</f>
        <v>0</v>
      </c>
      <c r="N1167" s="138"/>
      <c r="O1167" s="70">
        <f>O1168</f>
        <v>0</v>
      </c>
      <c r="P1167" s="138"/>
      <c r="Q1167" s="70">
        <f>Q1168</f>
        <v>0</v>
      </c>
    </row>
    <row r="1168" spans="2:17" ht="15.75" customHeight="1" hidden="1">
      <c r="B1168" s="32" t="s">
        <v>345</v>
      </c>
      <c r="C1168" s="6"/>
      <c r="D1168" s="44" t="s">
        <v>98</v>
      </c>
      <c r="E1168" s="6" t="s">
        <v>294</v>
      </c>
      <c r="F1168" s="6" t="s">
        <v>347</v>
      </c>
      <c r="G1168" s="70">
        <v>0</v>
      </c>
      <c r="H1168" s="52">
        <v>0</v>
      </c>
      <c r="I1168" s="70">
        <f>G1168+H1168</f>
        <v>0</v>
      </c>
      <c r="J1168" s="52">
        <v>0</v>
      </c>
      <c r="K1168" s="70">
        <f>I1168+J1168</f>
        <v>0</v>
      </c>
      <c r="L1168" s="138"/>
      <c r="M1168" s="70">
        <f>K1168+L1168</f>
        <v>0</v>
      </c>
      <c r="N1168" s="138"/>
      <c r="O1168" s="70">
        <f>M1168+N1168</f>
        <v>0</v>
      </c>
      <c r="P1168" s="138"/>
      <c r="Q1168" s="70">
        <f>O1168+P1168</f>
        <v>0</v>
      </c>
    </row>
    <row r="1169" spans="2:17" ht="21.75" customHeight="1" hidden="1">
      <c r="B1169" s="12" t="s">
        <v>182</v>
      </c>
      <c r="C1169" s="8"/>
      <c r="D1169" s="46" t="s">
        <v>98</v>
      </c>
      <c r="E1169" s="8" t="s">
        <v>295</v>
      </c>
      <c r="F1169" s="29"/>
      <c r="G1169" s="60">
        <f>G1170</f>
        <v>0</v>
      </c>
      <c r="H1169" s="3"/>
      <c r="I1169" s="60">
        <f>I1170</f>
        <v>0</v>
      </c>
      <c r="J1169" s="3"/>
      <c r="K1169" s="60">
        <f>K1170</f>
        <v>0</v>
      </c>
      <c r="L1169" s="133"/>
      <c r="M1169" s="60">
        <f>M1170</f>
        <v>0</v>
      </c>
      <c r="N1169" s="133"/>
      <c r="O1169" s="60">
        <f>O1170</f>
        <v>0</v>
      </c>
      <c r="P1169" s="133"/>
      <c r="Q1169" s="60">
        <f>Q1170</f>
        <v>0</v>
      </c>
    </row>
    <row r="1170" spans="2:17" ht="23.25" customHeight="1" hidden="1">
      <c r="B1170" s="32" t="s">
        <v>345</v>
      </c>
      <c r="C1170" s="8"/>
      <c r="D1170" s="46" t="s">
        <v>98</v>
      </c>
      <c r="E1170" s="8" t="s">
        <v>295</v>
      </c>
      <c r="F1170" s="55" t="s">
        <v>347</v>
      </c>
      <c r="G1170" s="60">
        <v>0</v>
      </c>
      <c r="H1170" s="3">
        <v>0</v>
      </c>
      <c r="I1170" s="60">
        <f>G1170+H1170</f>
        <v>0</v>
      </c>
      <c r="J1170" s="3">
        <v>0</v>
      </c>
      <c r="K1170" s="60">
        <f>I1170+J1170</f>
        <v>0</v>
      </c>
      <c r="L1170" s="133"/>
      <c r="M1170" s="60">
        <f>K1170+L1170</f>
        <v>0</v>
      </c>
      <c r="N1170" s="133"/>
      <c r="O1170" s="60">
        <f>M1170+N1170</f>
        <v>0</v>
      </c>
      <c r="P1170" s="133"/>
      <c r="Q1170" s="60">
        <f>O1170+P1170</f>
        <v>0</v>
      </c>
    </row>
    <row r="1171" spans="2:17" ht="20.25" customHeight="1" hidden="1">
      <c r="B1171" s="32" t="s">
        <v>243</v>
      </c>
      <c r="C1171" s="8"/>
      <c r="D1171" s="46" t="s">
        <v>98</v>
      </c>
      <c r="E1171" s="8" t="s">
        <v>244</v>
      </c>
      <c r="F1171" s="55"/>
      <c r="G1171" s="60">
        <f>G1172</f>
        <v>0</v>
      </c>
      <c r="H1171" s="3"/>
      <c r="I1171" s="60">
        <f>I1172</f>
        <v>0</v>
      </c>
      <c r="J1171" s="3"/>
      <c r="K1171" s="60">
        <f>K1172</f>
        <v>0</v>
      </c>
      <c r="L1171" s="133"/>
      <c r="M1171" s="60">
        <f>M1172</f>
        <v>0</v>
      </c>
      <c r="N1171" s="133"/>
      <c r="O1171" s="60">
        <f>O1172</f>
        <v>0</v>
      </c>
      <c r="P1171" s="133"/>
      <c r="Q1171" s="60">
        <f>Q1172</f>
        <v>0</v>
      </c>
    </row>
    <row r="1172" spans="2:17" ht="15.75" customHeight="1" hidden="1">
      <c r="B1172" s="32" t="s">
        <v>249</v>
      </c>
      <c r="C1172" s="8"/>
      <c r="D1172" s="46" t="s">
        <v>98</v>
      </c>
      <c r="E1172" s="8" t="s">
        <v>250</v>
      </c>
      <c r="F1172" s="55"/>
      <c r="G1172" s="60">
        <f>G1173</f>
        <v>0</v>
      </c>
      <c r="H1172" s="3"/>
      <c r="I1172" s="60">
        <f>I1173</f>
        <v>0</v>
      </c>
      <c r="J1172" s="3"/>
      <c r="K1172" s="60">
        <f>K1173</f>
        <v>0</v>
      </c>
      <c r="L1172" s="133"/>
      <c r="M1172" s="60">
        <f>M1173</f>
        <v>0</v>
      </c>
      <c r="N1172" s="133"/>
      <c r="O1172" s="60">
        <f>O1173</f>
        <v>0</v>
      </c>
      <c r="P1172" s="133"/>
      <c r="Q1172" s="60">
        <f>Q1173</f>
        <v>0</v>
      </c>
    </row>
    <row r="1173" spans="2:17" ht="21" customHeight="1" hidden="1">
      <c r="B1173" s="12" t="s">
        <v>97</v>
      </c>
      <c r="C1173" s="8"/>
      <c r="D1173" s="46" t="s">
        <v>98</v>
      </c>
      <c r="E1173" s="8" t="s">
        <v>250</v>
      </c>
      <c r="F1173" s="55" t="s">
        <v>10</v>
      </c>
      <c r="G1173" s="60">
        <v>0</v>
      </c>
      <c r="H1173" s="3"/>
      <c r="I1173" s="60">
        <f>G1173+H1173</f>
        <v>0</v>
      </c>
      <c r="J1173" s="3"/>
      <c r="K1173" s="60">
        <f>I1173+J1173</f>
        <v>0</v>
      </c>
      <c r="L1173" s="133"/>
      <c r="M1173" s="60">
        <f>K1173+L1173</f>
        <v>0</v>
      </c>
      <c r="N1173" s="133"/>
      <c r="O1173" s="60">
        <f>M1173+N1173</f>
        <v>0</v>
      </c>
      <c r="P1173" s="133"/>
      <c r="Q1173" s="60">
        <f>O1173+P1173</f>
        <v>0</v>
      </c>
    </row>
    <row r="1174" spans="2:17" ht="47.25">
      <c r="B1174" s="163" t="s">
        <v>558</v>
      </c>
      <c r="C1174" s="103" t="s">
        <v>200</v>
      </c>
      <c r="D1174" s="103" t="s">
        <v>98</v>
      </c>
      <c r="E1174" s="103" t="s">
        <v>554</v>
      </c>
      <c r="F1174" s="103"/>
      <c r="G1174" s="60"/>
      <c r="H1174" s="3"/>
      <c r="I1174" s="60"/>
      <c r="J1174" s="3"/>
      <c r="K1174" s="60"/>
      <c r="L1174" s="133"/>
      <c r="M1174" s="60"/>
      <c r="N1174" s="133"/>
      <c r="O1174" s="60"/>
      <c r="P1174" s="133"/>
      <c r="Q1174" s="60">
        <f>Q1175</f>
        <v>1167700</v>
      </c>
    </row>
    <row r="1175" spans="2:17" ht="31.5" customHeight="1">
      <c r="B1175" s="96" t="s">
        <v>345</v>
      </c>
      <c r="C1175" s="103" t="s">
        <v>200</v>
      </c>
      <c r="D1175" s="103" t="s">
        <v>98</v>
      </c>
      <c r="E1175" s="103" t="s">
        <v>554</v>
      </c>
      <c r="F1175" s="103" t="s">
        <v>347</v>
      </c>
      <c r="G1175" s="60"/>
      <c r="H1175" s="3"/>
      <c r="I1175" s="60"/>
      <c r="J1175" s="3"/>
      <c r="K1175" s="60"/>
      <c r="L1175" s="133"/>
      <c r="M1175" s="60"/>
      <c r="N1175" s="133"/>
      <c r="O1175" s="60"/>
      <c r="P1175" s="133">
        <v>1167700</v>
      </c>
      <c r="Q1175" s="60">
        <f>O1175+P1175</f>
        <v>1167700</v>
      </c>
    </row>
    <row r="1176" spans="2:17" ht="15.75">
      <c r="B1176" s="11" t="s">
        <v>212</v>
      </c>
      <c r="C1176" s="6"/>
      <c r="D1176" s="44" t="s">
        <v>98</v>
      </c>
      <c r="E1176" s="6" t="s">
        <v>210</v>
      </c>
      <c r="F1176" s="6"/>
      <c r="G1176" s="60"/>
      <c r="H1176" s="3"/>
      <c r="I1176" s="60"/>
      <c r="J1176" s="3"/>
      <c r="K1176" s="60"/>
      <c r="L1176" s="133"/>
      <c r="M1176" s="60">
        <f>M1177</f>
        <v>200000</v>
      </c>
      <c r="N1176" s="133"/>
      <c r="O1176" s="60">
        <f>O1177</f>
        <v>200000</v>
      </c>
      <c r="P1176" s="133"/>
      <c r="Q1176" s="60">
        <f>Q1177</f>
        <v>200000</v>
      </c>
    </row>
    <row r="1177" spans="2:17" ht="15.75">
      <c r="B1177" s="11" t="s">
        <v>529</v>
      </c>
      <c r="C1177" s="6"/>
      <c r="D1177" s="44" t="s">
        <v>98</v>
      </c>
      <c r="E1177" s="6" t="s">
        <v>308</v>
      </c>
      <c r="F1177" s="6"/>
      <c r="G1177" s="60"/>
      <c r="H1177" s="3"/>
      <c r="I1177" s="60"/>
      <c r="J1177" s="3"/>
      <c r="K1177" s="60"/>
      <c r="L1177" s="133"/>
      <c r="M1177" s="60">
        <f>M1178</f>
        <v>200000</v>
      </c>
      <c r="N1177" s="133"/>
      <c r="O1177" s="60">
        <f>O1178</f>
        <v>200000</v>
      </c>
      <c r="P1177" s="133"/>
      <c r="Q1177" s="60">
        <f>Q1178</f>
        <v>200000</v>
      </c>
    </row>
    <row r="1178" spans="2:17" ht="31.5">
      <c r="B1178" s="11" t="s">
        <v>530</v>
      </c>
      <c r="C1178" s="6"/>
      <c r="D1178" s="44" t="s">
        <v>98</v>
      </c>
      <c r="E1178" s="6" t="s">
        <v>308</v>
      </c>
      <c r="F1178" s="6" t="s">
        <v>528</v>
      </c>
      <c r="G1178" s="60"/>
      <c r="H1178" s="3"/>
      <c r="I1178" s="60"/>
      <c r="J1178" s="3"/>
      <c r="K1178" s="60"/>
      <c r="L1178" s="133">
        <v>200000</v>
      </c>
      <c r="M1178" s="60">
        <f>K1178+L1178</f>
        <v>200000</v>
      </c>
      <c r="N1178" s="133">
        <v>0</v>
      </c>
      <c r="O1178" s="60">
        <f>M1178+N1178</f>
        <v>200000</v>
      </c>
      <c r="P1178" s="133"/>
      <c r="Q1178" s="60">
        <f>O1178+P1178</f>
        <v>200000</v>
      </c>
    </row>
    <row r="1179" spans="2:17" ht="17.25" customHeight="1">
      <c r="B1179" s="23" t="s">
        <v>313</v>
      </c>
      <c r="C1179" s="44" t="s">
        <v>200</v>
      </c>
      <c r="D1179" s="44" t="s">
        <v>98</v>
      </c>
      <c r="E1179" s="44" t="s">
        <v>104</v>
      </c>
      <c r="F1179" s="44"/>
      <c r="G1179" s="60">
        <f>G1182</f>
        <v>0</v>
      </c>
      <c r="H1179" s="40"/>
      <c r="I1179" s="60">
        <f>I1182+I1180+I1184</f>
        <v>791900</v>
      </c>
      <c r="J1179" s="40"/>
      <c r="K1179" s="60">
        <f>K1182+K1180+K1184</f>
        <v>691900</v>
      </c>
      <c r="L1179" s="135"/>
      <c r="M1179" s="60">
        <f>M1182+M1180+M1184</f>
        <v>691900</v>
      </c>
      <c r="N1179" s="135"/>
      <c r="O1179" s="60">
        <f>O1182+O1180+O1184</f>
        <v>691900</v>
      </c>
      <c r="P1179" s="135"/>
      <c r="Q1179" s="60">
        <f>Q1182+Q1180+Q1184</f>
        <v>699108.4</v>
      </c>
    </row>
    <row r="1180" spans="2:17" ht="82.5" customHeight="1">
      <c r="B1180" s="104" t="s">
        <v>581</v>
      </c>
      <c r="C1180" s="44"/>
      <c r="D1180" s="44" t="s">
        <v>98</v>
      </c>
      <c r="E1180" s="44" t="s">
        <v>265</v>
      </c>
      <c r="F1180" s="44"/>
      <c r="G1180" s="60">
        <f>G1181</f>
        <v>0</v>
      </c>
      <c r="H1180" s="40"/>
      <c r="I1180" s="60">
        <f>I1181</f>
        <v>221500</v>
      </c>
      <c r="J1180" s="40"/>
      <c r="K1180" s="60">
        <f>K1181</f>
        <v>221500</v>
      </c>
      <c r="L1180" s="135"/>
      <c r="M1180" s="60">
        <f>M1181</f>
        <v>221500</v>
      </c>
      <c r="N1180" s="135"/>
      <c r="O1180" s="60">
        <f>O1181</f>
        <v>221500</v>
      </c>
      <c r="P1180" s="135"/>
      <c r="Q1180" s="60">
        <f>Q1181</f>
        <v>228708.4</v>
      </c>
    </row>
    <row r="1181" spans="2:17" ht="39" customHeight="1">
      <c r="B1181" s="32" t="s">
        <v>345</v>
      </c>
      <c r="C1181" s="44"/>
      <c r="D1181" s="44" t="s">
        <v>98</v>
      </c>
      <c r="E1181" s="44" t="s">
        <v>265</v>
      </c>
      <c r="F1181" s="44" t="s">
        <v>347</v>
      </c>
      <c r="G1181" s="60">
        <v>0</v>
      </c>
      <c r="H1181" s="40">
        <v>221500</v>
      </c>
      <c r="I1181" s="60">
        <f>G1181+H1181</f>
        <v>221500</v>
      </c>
      <c r="J1181" s="40">
        <v>0</v>
      </c>
      <c r="K1181" s="60">
        <f>I1181+J1181</f>
        <v>221500</v>
      </c>
      <c r="L1181" s="135"/>
      <c r="M1181" s="60">
        <f>K1181+L1181</f>
        <v>221500</v>
      </c>
      <c r="N1181" s="135"/>
      <c r="O1181" s="60">
        <f>M1181+N1181</f>
        <v>221500</v>
      </c>
      <c r="P1181" s="135">
        <v>7208.4</v>
      </c>
      <c r="Q1181" s="60">
        <f>O1181+P1181</f>
        <v>228708.4</v>
      </c>
    </row>
    <row r="1182" spans="2:17" ht="47.25">
      <c r="B1182" s="32" t="s">
        <v>297</v>
      </c>
      <c r="C1182" s="44" t="s">
        <v>200</v>
      </c>
      <c r="D1182" s="44" t="s">
        <v>98</v>
      </c>
      <c r="E1182" s="44" t="s">
        <v>266</v>
      </c>
      <c r="F1182" s="44"/>
      <c r="G1182" s="60">
        <f>G1183</f>
        <v>0</v>
      </c>
      <c r="H1182" s="3"/>
      <c r="I1182" s="60">
        <f>I1183</f>
        <v>470400</v>
      </c>
      <c r="J1182" s="3"/>
      <c r="K1182" s="60">
        <f>K1183</f>
        <v>470400</v>
      </c>
      <c r="L1182" s="133"/>
      <c r="M1182" s="60">
        <f>M1183</f>
        <v>470400</v>
      </c>
      <c r="N1182" s="133"/>
      <c r="O1182" s="60">
        <f>O1183</f>
        <v>470400</v>
      </c>
      <c r="P1182" s="133"/>
      <c r="Q1182" s="60">
        <f>Q1183</f>
        <v>470400</v>
      </c>
    </row>
    <row r="1183" spans="2:17" ht="20.25" customHeight="1">
      <c r="B1183" s="32" t="s">
        <v>368</v>
      </c>
      <c r="C1183" s="44" t="s">
        <v>200</v>
      </c>
      <c r="D1183" s="44" t="s">
        <v>98</v>
      </c>
      <c r="E1183" s="44" t="s">
        <v>266</v>
      </c>
      <c r="F1183" s="44" t="s">
        <v>367</v>
      </c>
      <c r="G1183" s="60">
        <v>0</v>
      </c>
      <c r="H1183" s="3">
        <v>470400</v>
      </c>
      <c r="I1183" s="60">
        <f>G1183+H1183</f>
        <v>470400</v>
      </c>
      <c r="J1183" s="3">
        <v>0</v>
      </c>
      <c r="K1183" s="60">
        <f>I1183+J1183</f>
        <v>470400</v>
      </c>
      <c r="L1183" s="133"/>
      <c r="M1183" s="60">
        <f>K1183+L1183</f>
        <v>470400</v>
      </c>
      <c r="N1183" s="133"/>
      <c r="O1183" s="60">
        <f>M1183+N1183</f>
        <v>470400</v>
      </c>
      <c r="P1183" s="133"/>
      <c r="Q1183" s="60">
        <f>O1183+P1183</f>
        <v>470400</v>
      </c>
    </row>
    <row r="1184" spans="2:17" ht="0.75" customHeight="1" hidden="1">
      <c r="B1184" s="109" t="s">
        <v>489</v>
      </c>
      <c r="C1184" s="6"/>
      <c r="D1184" s="101" t="s">
        <v>98</v>
      </c>
      <c r="E1184" s="103" t="s">
        <v>485</v>
      </c>
      <c r="F1184" s="6"/>
      <c r="G1184" s="60"/>
      <c r="H1184" s="3"/>
      <c r="I1184" s="60">
        <f>I1185</f>
        <v>100000</v>
      </c>
      <c r="J1184" s="3"/>
      <c r="K1184" s="60">
        <f>K1185</f>
        <v>0</v>
      </c>
      <c r="L1184" s="133"/>
      <c r="M1184" s="60">
        <f>M1185</f>
        <v>0</v>
      </c>
      <c r="N1184" s="133"/>
      <c r="O1184" s="60">
        <f>O1185</f>
        <v>0</v>
      </c>
      <c r="P1184" s="133"/>
      <c r="Q1184" s="60">
        <f>Q1185</f>
        <v>0</v>
      </c>
    </row>
    <row r="1185" spans="2:17" ht="24.75" customHeight="1" hidden="1">
      <c r="B1185" s="31" t="s">
        <v>334</v>
      </c>
      <c r="C1185" s="6"/>
      <c r="D1185" s="101" t="s">
        <v>98</v>
      </c>
      <c r="E1185" s="103" t="s">
        <v>485</v>
      </c>
      <c r="F1185" s="6" t="s">
        <v>335</v>
      </c>
      <c r="G1185" s="60"/>
      <c r="H1185" s="3">
        <v>100000</v>
      </c>
      <c r="I1185" s="60">
        <f>G1185+H1185</f>
        <v>100000</v>
      </c>
      <c r="J1185" s="3">
        <v>-100000</v>
      </c>
      <c r="K1185" s="60">
        <f>I1185+J1185</f>
        <v>0</v>
      </c>
      <c r="L1185" s="133"/>
      <c r="M1185" s="60">
        <f>K1185+L1185</f>
        <v>0</v>
      </c>
      <c r="N1185" s="133"/>
      <c r="O1185" s="60">
        <f>M1185+N1185</f>
        <v>0</v>
      </c>
      <c r="P1185" s="133"/>
      <c r="Q1185" s="60">
        <f>O1185+P1185</f>
        <v>0</v>
      </c>
    </row>
    <row r="1186" spans="2:17" ht="33" customHeight="1">
      <c r="B1186" s="96" t="s">
        <v>505</v>
      </c>
      <c r="C1186" s="6"/>
      <c r="D1186" s="101" t="s">
        <v>98</v>
      </c>
      <c r="E1186" s="103" t="s">
        <v>504</v>
      </c>
      <c r="F1186" s="6"/>
      <c r="G1186" s="73"/>
      <c r="H1186" s="3"/>
      <c r="I1186" s="73"/>
      <c r="J1186" s="3"/>
      <c r="K1186" s="73"/>
      <c r="L1186" s="133"/>
      <c r="M1186" s="73">
        <f>M1187</f>
        <v>604800</v>
      </c>
      <c r="N1186" s="133"/>
      <c r="O1186" s="73">
        <f>O1187</f>
        <v>604800</v>
      </c>
      <c r="P1186" s="133"/>
      <c r="Q1186" s="73">
        <f>Q1187</f>
        <v>604800</v>
      </c>
    </row>
    <row r="1187" spans="2:17" ht="36.75" customHeight="1">
      <c r="B1187" s="158" t="s">
        <v>502</v>
      </c>
      <c r="C1187" s="6"/>
      <c r="D1187" s="101" t="s">
        <v>98</v>
      </c>
      <c r="E1187" s="103" t="s">
        <v>503</v>
      </c>
      <c r="F1187" s="6"/>
      <c r="G1187" s="73"/>
      <c r="H1187" s="3"/>
      <c r="I1187" s="73"/>
      <c r="J1187" s="3"/>
      <c r="K1187" s="73"/>
      <c r="L1187" s="133"/>
      <c r="M1187" s="73">
        <f>M1188</f>
        <v>604800</v>
      </c>
      <c r="N1187" s="133"/>
      <c r="O1187" s="73">
        <f>O1188</f>
        <v>604800</v>
      </c>
      <c r="P1187" s="133"/>
      <c r="Q1187" s="73">
        <f>Q1188</f>
        <v>604800</v>
      </c>
    </row>
    <row r="1188" spans="2:17" ht="15.75">
      <c r="B1188" s="31" t="s">
        <v>368</v>
      </c>
      <c r="C1188" s="6"/>
      <c r="D1188" s="101" t="s">
        <v>98</v>
      </c>
      <c r="E1188" s="103" t="s">
        <v>503</v>
      </c>
      <c r="F1188" s="103" t="s">
        <v>367</v>
      </c>
      <c r="G1188" s="73"/>
      <c r="H1188" s="3"/>
      <c r="I1188" s="73"/>
      <c r="J1188" s="3"/>
      <c r="K1188" s="73"/>
      <c r="L1188" s="133">
        <v>604800</v>
      </c>
      <c r="M1188" s="73">
        <f>L1188+K1188</f>
        <v>604800</v>
      </c>
      <c r="N1188" s="133">
        <v>0</v>
      </c>
      <c r="O1188" s="73">
        <f>N1188+M1188</f>
        <v>604800</v>
      </c>
      <c r="P1188" s="133"/>
      <c r="Q1188" s="73">
        <f>P1188+O1188</f>
        <v>604800</v>
      </c>
    </row>
    <row r="1189" spans="2:17" ht="63">
      <c r="B1189" s="109" t="s">
        <v>164</v>
      </c>
      <c r="C1189" s="103" t="s">
        <v>200</v>
      </c>
      <c r="D1189" s="101" t="s">
        <v>98</v>
      </c>
      <c r="E1189" s="103" t="s">
        <v>294</v>
      </c>
      <c r="F1189" s="103"/>
      <c r="G1189" s="73"/>
      <c r="H1189" s="3"/>
      <c r="I1189" s="73"/>
      <c r="J1189" s="3"/>
      <c r="K1189" s="73"/>
      <c r="L1189" s="133"/>
      <c r="M1189" s="73"/>
      <c r="N1189" s="133"/>
      <c r="O1189" s="73"/>
      <c r="P1189" s="133"/>
      <c r="Q1189" s="73">
        <f>Q1190</f>
        <v>1216500</v>
      </c>
    </row>
    <row r="1190" spans="2:17" ht="30" customHeight="1">
      <c r="B1190" s="114" t="s">
        <v>345</v>
      </c>
      <c r="C1190" s="115" t="s">
        <v>200</v>
      </c>
      <c r="D1190" s="101" t="s">
        <v>98</v>
      </c>
      <c r="E1190" s="115" t="s">
        <v>294</v>
      </c>
      <c r="F1190" s="115" t="s">
        <v>347</v>
      </c>
      <c r="G1190" s="73"/>
      <c r="H1190" s="3"/>
      <c r="I1190" s="73"/>
      <c r="J1190" s="3"/>
      <c r="K1190" s="73"/>
      <c r="L1190" s="133"/>
      <c r="M1190" s="73"/>
      <c r="N1190" s="133"/>
      <c r="O1190" s="73"/>
      <c r="P1190" s="133">
        <v>1216500</v>
      </c>
      <c r="Q1190" s="73">
        <f>P1190+O1190</f>
        <v>1216500</v>
      </c>
    </row>
    <row r="1191" spans="2:17" ht="51" customHeight="1">
      <c r="B1191" s="109" t="s">
        <v>182</v>
      </c>
      <c r="C1191" s="97" t="s">
        <v>200</v>
      </c>
      <c r="D1191" s="98" t="s">
        <v>98</v>
      </c>
      <c r="E1191" s="97" t="s">
        <v>295</v>
      </c>
      <c r="F1191" s="29"/>
      <c r="G1191" s="73"/>
      <c r="H1191" s="3"/>
      <c r="I1191" s="73"/>
      <c r="J1191" s="3"/>
      <c r="K1191" s="73"/>
      <c r="L1191" s="133"/>
      <c r="M1191" s="73"/>
      <c r="N1191" s="133"/>
      <c r="O1191" s="73"/>
      <c r="P1191" s="133"/>
      <c r="Q1191" s="73">
        <f>Q1192</f>
        <v>998500</v>
      </c>
    </row>
    <row r="1192" spans="2:17" ht="32.25" customHeight="1">
      <c r="B1192" s="114" t="s">
        <v>345</v>
      </c>
      <c r="C1192" s="97" t="s">
        <v>200</v>
      </c>
      <c r="D1192" s="98" t="s">
        <v>98</v>
      </c>
      <c r="E1192" s="97" t="s">
        <v>295</v>
      </c>
      <c r="F1192" s="55" t="s">
        <v>347</v>
      </c>
      <c r="G1192" s="73"/>
      <c r="H1192" s="3"/>
      <c r="I1192" s="73"/>
      <c r="J1192" s="3"/>
      <c r="K1192" s="73"/>
      <c r="L1192" s="133"/>
      <c r="M1192" s="73"/>
      <c r="N1192" s="133"/>
      <c r="O1192" s="73"/>
      <c r="P1192" s="133">
        <v>998500</v>
      </c>
      <c r="Q1192" s="73">
        <f>P1192+O1192</f>
        <v>998500</v>
      </c>
    </row>
    <row r="1193" spans="2:17" ht="34.5" customHeight="1">
      <c r="B1193" s="31" t="s">
        <v>257</v>
      </c>
      <c r="C1193" s="6"/>
      <c r="D1193" s="101" t="s">
        <v>258</v>
      </c>
      <c r="E1193" s="103"/>
      <c r="F1193" s="103"/>
      <c r="G1193" s="73"/>
      <c r="H1193" s="3"/>
      <c r="I1193" s="73"/>
      <c r="J1193" s="3"/>
      <c r="K1193" s="73"/>
      <c r="L1193" s="133"/>
      <c r="M1193" s="73"/>
      <c r="N1193" s="133"/>
      <c r="O1193" s="73">
        <f>O1194</f>
        <v>250000</v>
      </c>
      <c r="P1193" s="133"/>
      <c r="Q1193" s="73">
        <f>Q1194</f>
        <v>250000</v>
      </c>
    </row>
    <row r="1194" spans="2:17" ht="17.25" customHeight="1">
      <c r="B1194" s="109" t="s">
        <v>481</v>
      </c>
      <c r="C1194" s="103" t="s">
        <v>200</v>
      </c>
      <c r="D1194" s="101" t="s">
        <v>258</v>
      </c>
      <c r="E1194" s="103" t="s">
        <v>485</v>
      </c>
      <c r="F1194" s="103"/>
      <c r="G1194" s="60"/>
      <c r="H1194" s="3"/>
      <c r="I1194" s="60"/>
      <c r="J1194" s="3"/>
      <c r="K1194" s="60">
        <f>K1195+K1196</f>
        <v>250000</v>
      </c>
      <c r="L1194" s="133"/>
      <c r="M1194" s="60">
        <f>M1195+M1196</f>
        <v>250000</v>
      </c>
      <c r="N1194" s="133"/>
      <c r="O1194" s="60">
        <f>O1195+O1196</f>
        <v>250000</v>
      </c>
      <c r="P1194" s="133"/>
      <c r="Q1194" s="60">
        <f>Q1195+Q1196</f>
        <v>250000</v>
      </c>
    </row>
    <row r="1195" spans="2:17" ht="15" customHeight="1">
      <c r="B1195" s="96" t="s">
        <v>334</v>
      </c>
      <c r="C1195" s="103" t="s">
        <v>200</v>
      </c>
      <c r="D1195" s="101" t="s">
        <v>258</v>
      </c>
      <c r="E1195" s="103" t="s">
        <v>485</v>
      </c>
      <c r="F1195" s="103" t="s">
        <v>335</v>
      </c>
      <c r="G1195" s="60"/>
      <c r="H1195" s="3"/>
      <c r="I1195" s="60"/>
      <c r="J1195" s="3">
        <v>200000</v>
      </c>
      <c r="K1195" s="60">
        <f>I1195+J1195</f>
        <v>200000</v>
      </c>
      <c r="L1195" s="133"/>
      <c r="M1195" s="60">
        <f>K1195+L1195</f>
        <v>200000</v>
      </c>
      <c r="N1195" s="133"/>
      <c r="O1195" s="60">
        <f>M1195+N1195</f>
        <v>200000</v>
      </c>
      <c r="P1195" s="133"/>
      <c r="Q1195" s="60">
        <f>O1195+P1195</f>
        <v>200000</v>
      </c>
    </row>
    <row r="1196" spans="2:17" ht="48.75" customHeight="1">
      <c r="B1196" s="96" t="s">
        <v>378</v>
      </c>
      <c r="C1196" s="103" t="s">
        <v>200</v>
      </c>
      <c r="D1196" s="101" t="s">
        <v>258</v>
      </c>
      <c r="E1196" s="101" t="s">
        <v>485</v>
      </c>
      <c r="F1196" s="101" t="s">
        <v>360</v>
      </c>
      <c r="G1196" s="60"/>
      <c r="H1196" s="3"/>
      <c r="I1196" s="60"/>
      <c r="J1196" s="3">
        <v>50000</v>
      </c>
      <c r="K1196" s="60">
        <f>I1196+J1196</f>
        <v>50000</v>
      </c>
      <c r="L1196" s="133"/>
      <c r="M1196" s="60">
        <f>K1196+L1196</f>
        <v>50000</v>
      </c>
      <c r="N1196" s="133"/>
      <c r="O1196" s="60">
        <f>M1196+N1196</f>
        <v>50000</v>
      </c>
      <c r="P1196" s="133"/>
      <c r="Q1196" s="60">
        <f>O1196+P1196</f>
        <v>50000</v>
      </c>
    </row>
    <row r="1197" spans="2:17" ht="20.25" customHeight="1">
      <c r="B1197" s="59" t="s">
        <v>105</v>
      </c>
      <c r="C1197" s="2"/>
      <c r="D1197" s="47" t="s">
        <v>237</v>
      </c>
      <c r="E1197" s="2"/>
      <c r="F1197" s="2"/>
      <c r="G1197" s="60">
        <f>G1198</f>
        <v>0</v>
      </c>
      <c r="H1197" s="3"/>
      <c r="I1197" s="60">
        <f>I1198</f>
        <v>1452000</v>
      </c>
      <c r="J1197" s="3"/>
      <c r="K1197" s="60">
        <f>K1198</f>
        <v>1452000</v>
      </c>
      <c r="L1197" s="133"/>
      <c r="M1197" s="60">
        <f>M1198</f>
        <v>1405800</v>
      </c>
      <c r="N1197" s="133"/>
      <c r="O1197" s="60">
        <f>O1198</f>
        <v>1405800</v>
      </c>
      <c r="P1197" s="133"/>
      <c r="Q1197" s="60">
        <f>Q1198</f>
        <v>1405800</v>
      </c>
    </row>
    <row r="1198" spans="2:17" ht="17.25" customHeight="1">
      <c r="B1198" s="16" t="s">
        <v>247</v>
      </c>
      <c r="C1198" s="2"/>
      <c r="D1198" s="46" t="s">
        <v>248</v>
      </c>
      <c r="E1198" s="46"/>
      <c r="F1198" s="46"/>
      <c r="G1198" s="60">
        <f>G1199+G1206</f>
        <v>0</v>
      </c>
      <c r="H1198" s="3"/>
      <c r="I1198" s="60">
        <f>I1199+I1206+I1204</f>
        <v>1452000</v>
      </c>
      <c r="J1198" s="3"/>
      <c r="K1198" s="60">
        <f>K1199+K1206+K1204</f>
        <v>1452000</v>
      </c>
      <c r="L1198" s="133"/>
      <c r="M1198" s="60">
        <f>M1199+M1206+M1204</f>
        <v>1405800</v>
      </c>
      <c r="N1198" s="133"/>
      <c r="O1198" s="60">
        <f>O1199+O1206+O1204</f>
        <v>1405800</v>
      </c>
      <c r="P1198" s="133"/>
      <c r="Q1198" s="60">
        <f>Q1199+Q1206+Q1204</f>
        <v>1405800</v>
      </c>
    </row>
    <row r="1199" spans="2:17" ht="30.75" customHeight="1">
      <c r="B1199" s="23" t="s">
        <v>95</v>
      </c>
      <c r="C1199" s="2"/>
      <c r="D1199" s="44" t="s">
        <v>248</v>
      </c>
      <c r="E1199" s="44">
        <v>5120000</v>
      </c>
      <c r="F1199" s="44"/>
      <c r="G1199" s="60">
        <f>G1200</f>
        <v>0</v>
      </c>
      <c r="H1199" s="3"/>
      <c r="I1199" s="60">
        <f>I1200</f>
        <v>722000</v>
      </c>
      <c r="J1199" s="3"/>
      <c r="K1199" s="60">
        <f>K1200</f>
        <v>1252000</v>
      </c>
      <c r="L1199" s="133"/>
      <c r="M1199" s="60">
        <f>M1200</f>
        <v>1205800</v>
      </c>
      <c r="N1199" s="133"/>
      <c r="O1199" s="60">
        <f>O1200</f>
        <v>1205800</v>
      </c>
      <c r="P1199" s="133"/>
      <c r="Q1199" s="60">
        <f>Q1200</f>
        <v>1205800</v>
      </c>
    </row>
    <row r="1200" spans="2:17" ht="31.5">
      <c r="B1200" s="23" t="s">
        <v>221</v>
      </c>
      <c r="C1200" s="2"/>
      <c r="D1200" s="44" t="s">
        <v>248</v>
      </c>
      <c r="E1200" s="44" t="s">
        <v>106</v>
      </c>
      <c r="F1200" s="44"/>
      <c r="G1200" s="60">
        <f>G1202+G1201+G1203</f>
        <v>0</v>
      </c>
      <c r="H1200" s="3"/>
      <c r="I1200" s="60">
        <f>I1202+I1201+I1203</f>
        <v>722000</v>
      </c>
      <c r="J1200" s="3"/>
      <c r="K1200" s="60">
        <f>K1202+K1201+K1203</f>
        <v>1252000</v>
      </c>
      <c r="L1200" s="133"/>
      <c r="M1200" s="60">
        <f>M1202+M1201+M1203</f>
        <v>1205800</v>
      </c>
      <c r="N1200" s="133"/>
      <c r="O1200" s="60">
        <f>O1202+O1201+O1203</f>
        <v>1205800</v>
      </c>
      <c r="P1200" s="133"/>
      <c r="Q1200" s="60">
        <f>Q1202+Q1201+Q1203</f>
        <v>1205800</v>
      </c>
    </row>
    <row r="1201" spans="2:17" ht="15.75" customHeight="1" hidden="1">
      <c r="B1201" s="31" t="s">
        <v>321</v>
      </c>
      <c r="C1201" s="6" t="s">
        <v>200</v>
      </c>
      <c r="D1201" s="6" t="s">
        <v>248</v>
      </c>
      <c r="E1201" s="6" t="s">
        <v>106</v>
      </c>
      <c r="F1201" s="6" t="s">
        <v>326</v>
      </c>
      <c r="G1201" s="60">
        <v>0</v>
      </c>
      <c r="H1201" s="3"/>
      <c r="I1201" s="60">
        <v>0</v>
      </c>
      <c r="J1201" s="3"/>
      <c r="K1201" s="60">
        <v>0</v>
      </c>
      <c r="L1201" s="133"/>
      <c r="M1201" s="60">
        <v>0</v>
      </c>
      <c r="N1201" s="133"/>
      <c r="O1201" s="60">
        <v>0</v>
      </c>
      <c r="P1201" s="133"/>
      <c r="Q1201" s="60">
        <v>0</v>
      </c>
    </row>
    <row r="1202" spans="2:17" ht="18.75" customHeight="1" hidden="1">
      <c r="B1202" s="16" t="s">
        <v>323</v>
      </c>
      <c r="C1202" s="2"/>
      <c r="D1202" s="44" t="s">
        <v>248</v>
      </c>
      <c r="E1202" s="44" t="s">
        <v>106</v>
      </c>
      <c r="F1202" s="44" t="s">
        <v>328</v>
      </c>
      <c r="G1202" s="60">
        <v>0</v>
      </c>
      <c r="H1202" s="3"/>
      <c r="I1202" s="60">
        <v>0</v>
      </c>
      <c r="J1202" s="3"/>
      <c r="K1202" s="60">
        <v>0</v>
      </c>
      <c r="L1202" s="133"/>
      <c r="M1202" s="60">
        <v>0</v>
      </c>
      <c r="N1202" s="133"/>
      <c r="O1202" s="60">
        <v>0</v>
      </c>
      <c r="P1202" s="133"/>
      <c r="Q1202" s="60">
        <v>0</v>
      </c>
    </row>
    <row r="1203" spans="2:17" ht="18.75" customHeight="1">
      <c r="B1203" s="16" t="s">
        <v>334</v>
      </c>
      <c r="C1203" s="2"/>
      <c r="D1203" s="44" t="s">
        <v>248</v>
      </c>
      <c r="E1203" s="44" t="s">
        <v>106</v>
      </c>
      <c r="F1203" s="44" t="s">
        <v>335</v>
      </c>
      <c r="G1203" s="73">
        <v>0</v>
      </c>
      <c r="H1203" s="3">
        <v>722000</v>
      </c>
      <c r="I1203" s="73">
        <f>G1203+H1203</f>
        <v>722000</v>
      </c>
      <c r="J1203" s="3">
        <v>530000</v>
      </c>
      <c r="K1203" s="73">
        <f>I1203+J1203</f>
        <v>1252000</v>
      </c>
      <c r="L1203" s="133">
        <v>-46200</v>
      </c>
      <c r="M1203" s="73">
        <f>K1203+L1203</f>
        <v>1205800</v>
      </c>
      <c r="N1203" s="133">
        <v>0</v>
      </c>
      <c r="O1203" s="73">
        <f>M1203+N1203</f>
        <v>1205800</v>
      </c>
      <c r="P1203" s="133"/>
      <c r="Q1203" s="73">
        <f>O1203+P1203</f>
        <v>1205800</v>
      </c>
    </row>
    <row r="1204" spans="2:17" ht="54.75" customHeight="1" hidden="1">
      <c r="B1204" s="96" t="s">
        <v>458</v>
      </c>
      <c r="C1204" s="2"/>
      <c r="D1204" s="101" t="s">
        <v>248</v>
      </c>
      <c r="E1204" s="101" t="s">
        <v>457</v>
      </c>
      <c r="F1204" s="44"/>
      <c r="G1204" s="73"/>
      <c r="H1204" s="3"/>
      <c r="I1204" s="73">
        <f>I1205</f>
        <v>0</v>
      </c>
      <c r="J1204" s="3"/>
      <c r="K1204" s="73">
        <f>K1205</f>
        <v>0</v>
      </c>
      <c r="L1204" s="133"/>
      <c r="M1204" s="73">
        <f>M1205</f>
        <v>0</v>
      </c>
      <c r="N1204" s="133"/>
      <c r="O1204" s="73">
        <f>O1205</f>
        <v>0</v>
      </c>
      <c r="P1204" s="133"/>
      <c r="Q1204" s="73">
        <f>Q1205</f>
        <v>0</v>
      </c>
    </row>
    <row r="1205" spans="2:17" ht="37.5" customHeight="1" hidden="1">
      <c r="B1205" s="31" t="s">
        <v>382</v>
      </c>
      <c r="C1205" s="2"/>
      <c r="D1205" s="101" t="s">
        <v>248</v>
      </c>
      <c r="E1205" s="101" t="s">
        <v>457</v>
      </c>
      <c r="F1205" s="101" t="s">
        <v>335</v>
      </c>
      <c r="G1205" s="73"/>
      <c r="H1205" s="3">
        <v>0</v>
      </c>
      <c r="I1205" s="73">
        <f>G1205+H1205</f>
        <v>0</v>
      </c>
      <c r="J1205" s="3">
        <v>0</v>
      </c>
      <c r="K1205" s="73">
        <f>I1205+J1205</f>
        <v>0</v>
      </c>
      <c r="L1205" s="133"/>
      <c r="M1205" s="73">
        <f>K1205+L1205</f>
        <v>0</v>
      </c>
      <c r="N1205" s="133"/>
      <c r="O1205" s="73">
        <f>M1205+N1205</f>
        <v>0</v>
      </c>
      <c r="P1205" s="133"/>
      <c r="Q1205" s="73">
        <f>O1205+P1205</f>
        <v>0</v>
      </c>
    </row>
    <row r="1206" spans="2:17" ht="0.75" customHeight="1" hidden="1">
      <c r="B1206" s="16" t="s">
        <v>313</v>
      </c>
      <c r="C1206" s="2"/>
      <c r="D1206" s="44" t="s">
        <v>248</v>
      </c>
      <c r="E1206" s="44" t="s">
        <v>104</v>
      </c>
      <c r="F1206" s="44"/>
      <c r="G1206" s="73">
        <f>G1207+G1209</f>
        <v>0</v>
      </c>
      <c r="H1206" s="3"/>
      <c r="I1206" s="73">
        <f>I1207+I1209</f>
        <v>730000</v>
      </c>
      <c r="J1206" s="3"/>
      <c r="K1206" s="73">
        <f>K1207+K1209</f>
        <v>200000</v>
      </c>
      <c r="L1206" s="133"/>
      <c r="M1206" s="73">
        <f>M1207+M1209</f>
        <v>200000</v>
      </c>
      <c r="N1206" s="133"/>
      <c r="O1206" s="73">
        <f>O1207+O1209</f>
        <v>200000</v>
      </c>
      <c r="P1206" s="133"/>
      <c r="Q1206" s="73">
        <f>Q1207+Q1209</f>
        <v>200000</v>
      </c>
    </row>
    <row r="1207" spans="2:17" ht="33.75" customHeight="1" hidden="1">
      <c r="B1207" s="51" t="s">
        <v>300</v>
      </c>
      <c r="C1207" s="6" t="s">
        <v>200</v>
      </c>
      <c r="D1207" s="6" t="s">
        <v>248</v>
      </c>
      <c r="E1207" s="6" t="s">
        <v>268</v>
      </c>
      <c r="F1207" s="6"/>
      <c r="G1207" s="73">
        <f>G1208</f>
        <v>0</v>
      </c>
      <c r="H1207" s="3"/>
      <c r="I1207" s="73">
        <f>I1208</f>
        <v>0</v>
      </c>
      <c r="J1207" s="3"/>
      <c r="K1207" s="73">
        <f>K1208</f>
        <v>0</v>
      </c>
      <c r="L1207" s="133"/>
      <c r="M1207" s="73">
        <f>M1208</f>
        <v>0</v>
      </c>
      <c r="N1207" s="133"/>
      <c r="O1207" s="73">
        <f>O1208</f>
        <v>0</v>
      </c>
      <c r="P1207" s="133"/>
      <c r="Q1207" s="73">
        <f>Q1208</f>
        <v>0</v>
      </c>
    </row>
    <row r="1208" spans="2:17" ht="11.25" customHeight="1" hidden="1">
      <c r="B1208" s="32" t="s">
        <v>334</v>
      </c>
      <c r="C1208" s="6" t="s">
        <v>200</v>
      </c>
      <c r="D1208" s="6" t="s">
        <v>248</v>
      </c>
      <c r="E1208" s="6" t="s">
        <v>268</v>
      </c>
      <c r="F1208" s="6" t="s">
        <v>335</v>
      </c>
      <c r="G1208" s="73">
        <v>0</v>
      </c>
      <c r="H1208" s="3"/>
      <c r="I1208" s="73">
        <f>G1208+H1208</f>
        <v>0</v>
      </c>
      <c r="J1208" s="3"/>
      <c r="K1208" s="73">
        <f>I1208+J1208</f>
        <v>0</v>
      </c>
      <c r="L1208" s="133"/>
      <c r="M1208" s="73">
        <f>K1208+L1208</f>
        <v>0</v>
      </c>
      <c r="N1208" s="133"/>
      <c r="O1208" s="73">
        <f>M1208+N1208</f>
        <v>0</v>
      </c>
      <c r="P1208" s="133"/>
      <c r="Q1208" s="73">
        <f>O1208+P1208</f>
        <v>0</v>
      </c>
    </row>
    <row r="1209" spans="2:17" ht="66" customHeight="1">
      <c r="B1209" s="32" t="s">
        <v>303</v>
      </c>
      <c r="C1209" s="44" t="s">
        <v>200</v>
      </c>
      <c r="D1209" s="44" t="s">
        <v>248</v>
      </c>
      <c r="E1209" s="44" t="s">
        <v>304</v>
      </c>
      <c r="F1209" s="44"/>
      <c r="G1209" s="73">
        <f>G1210</f>
        <v>0</v>
      </c>
      <c r="H1209" s="3"/>
      <c r="I1209" s="73">
        <f>I1210</f>
        <v>730000</v>
      </c>
      <c r="J1209" s="3"/>
      <c r="K1209" s="73">
        <f>K1210</f>
        <v>200000</v>
      </c>
      <c r="L1209" s="133"/>
      <c r="M1209" s="73">
        <f>M1210</f>
        <v>200000</v>
      </c>
      <c r="N1209" s="133"/>
      <c r="O1209" s="73">
        <f>O1210</f>
        <v>200000</v>
      </c>
      <c r="P1209" s="133"/>
      <c r="Q1209" s="73">
        <f>Q1210</f>
        <v>200000</v>
      </c>
    </row>
    <row r="1210" spans="2:17" ht="18.75" customHeight="1">
      <c r="B1210" s="32" t="s">
        <v>334</v>
      </c>
      <c r="C1210" s="44" t="s">
        <v>200</v>
      </c>
      <c r="D1210" s="44" t="s">
        <v>248</v>
      </c>
      <c r="E1210" s="44" t="s">
        <v>304</v>
      </c>
      <c r="F1210" s="44" t="s">
        <v>335</v>
      </c>
      <c r="G1210" s="73">
        <v>0</v>
      </c>
      <c r="H1210" s="3">
        <v>730000</v>
      </c>
      <c r="I1210" s="73">
        <f>G1210+H1210</f>
        <v>730000</v>
      </c>
      <c r="J1210" s="3">
        <v>-530000</v>
      </c>
      <c r="K1210" s="73">
        <f>I1210+J1210</f>
        <v>200000</v>
      </c>
      <c r="L1210" s="133"/>
      <c r="M1210" s="73">
        <f>K1210+L1210</f>
        <v>200000</v>
      </c>
      <c r="N1210" s="133"/>
      <c r="O1210" s="73">
        <f>M1210+N1210</f>
        <v>200000</v>
      </c>
      <c r="P1210" s="133"/>
      <c r="Q1210" s="73">
        <f>O1210+P1210</f>
        <v>200000</v>
      </c>
    </row>
    <row r="1211" spans="2:17" ht="34.5" customHeight="1">
      <c r="B1211" s="61" t="s">
        <v>15</v>
      </c>
      <c r="C1211" s="6" t="s">
        <v>200</v>
      </c>
      <c r="D1211" s="9" t="s">
        <v>240</v>
      </c>
      <c r="E1211" s="6"/>
      <c r="F1211" s="6"/>
      <c r="G1211" s="70">
        <f>G1212</f>
        <v>0</v>
      </c>
      <c r="H1211" s="52"/>
      <c r="I1211" s="70">
        <f>I1212</f>
        <v>2987900</v>
      </c>
      <c r="J1211" s="52"/>
      <c r="K1211" s="70">
        <f>K1212</f>
        <v>2987900</v>
      </c>
      <c r="L1211" s="138"/>
      <c r="M1211" s="70">
        <f>M1212</f>
        <v>2987900</v>
      </c>
      <c r="N1211" s="138"/>
      <c r="O1211" s="70">
        <f>O1212</f>
        <v>2987900</v>
      </c>
      <c r="P1211" s="138"/>
      <c r="Q1211" s="70">
        <f>Q1212</f>
        <v>2987900</v>
      </c>
    </row>
    <row r="1212" spans="2:17" ht="20.25" customHeight="1">
      <c r="B1212" s="32" t="s">
        <v>388</v>
      </c>
      <c r="C1212" s="6" t="s">
        <v>200</v>
      </c>
      <c r="D1212" s="6" t="s">
        <v>241</v>
      </c>
      <c r="E1212" s="6" t="s">
        <v>16</v>
      </c>
      <c r="F1212" s="6"/>
      <c r="G1212" s="70">
        <f>G1213</f>
        <v>0</v>
      </c>
      <c r="H1212" s="52"/>
      <c r="I1212" s="70">
        <f>I1213</f>
        <v>2987900</v>
      </c>
      <c r="J1212" s="52"/>
      <c r="K1212" s="70">
        <f>K1213</f>
        <v>2987900</v>
      </c>
      <c r="L1212" s="138"/>
      <c r="M1212" s="70">
        <f>M1213</f>
        <v>2987900</v>
      </c>
      <c r="N1212" s="138"/>
      <c r="O1212" s="70">
        <f>O1213</f>
        <v>2987900</v>
      </c>
      <c r="P1212" s="138"/>
      <c r="Q1212" s="70">
        <f>Q1213</f>
        <v>2987900</v>
      </c>
    </row>
    <row r="1213" spans="2:17" ht="35.25" customHeight="1">
      <c r="B1213" s="32" t="s">
        <v>274</v>
      </c>
      <c r="C1213" s="6" t="s">
        <v>200</v>
      </c>
      <c r="D1213" s="6" t="s">
        <v>241</v>
      </c>
      <c r="E1213" s="6" t="s">
        <v>149</v>
      </c>
      <c r="F1213" s="6" t="s">
        <v>361</v>
      </c>
      <c r="G1213" s="70">
        <v>0</v>
      </c>
      <c r="H1213" s="52">
        <v>2987900</v>
      </c>
      <c r="I1213" s="70">
        <f>G1213+H1213</f>
        <v>2987900</v>
      </c>
      <c r="J1213" s="52">
        <v>0</v>
      </c>
      <c r="K1213" s="70">
        <f>I1213+J1213</f>
        <v>2987900</v>
      </c>
      <c r="L1213" s="138"/>
      <c r="M1213" s="70">
        <f>K1213+L1213</f>
        <v>2987900</v>
      </c>
      <c r="N1213" s="138"/>
      <c r="O1213" s="70">
        <f>M1213+N1213</f>
        <v>2987900</v>
      </c>
      <c r="P1213" s="138"/>
      <c r="Q1213" s="70">
        <f>O1213+P1213</f>
        <v>2987900</v>
      </c>
    </row>
    <row r="1214" spans="2:17" ht="23.25" customHeight="1">
      <c r="B1214" s="75" t="s">
        <v>101</v>
      </c>
      <c r="C1214" s="12"/>
      <c r="D1214" s="44"/>
      <c r="E1214" s="2"/>
      <c r="F1214" s="2"/>
      <c r="G1214" s="69" t="e">
        <f>G1152+G1090+G929+G921+G854+G795+G773+G647+G1197+G1211</f>
        <v>#REF!</v>
      </c>
      <c r="H1214" s="3"/>
      <c r="I1214" s="69" t="e">
        <f>I1152+I1090+I929+I921+I854+I795+I773+I647+I1197+I1211</f>
        <v>#REF!</v>
      </c>
      <c r="J1214" s="3"/>
      <c r="K1214" s="69" t="e">
        <f>K1152+K1090+K929+K921+K854+K795+K773+K647+K1197+K1211</f>
        <v>#REF!</v>
      </c>
      <c r="L1214" s="133"/>
      <c r="M1214" s="69">
        <f>M1152+M1090+M929+M921+M854+M795+M773+M647+M1197+M1211</f>
        <v>483865199</v>
      </c>
      <c r="N1214" s="133"/>
      <c r="O1214" s="69">
        <f>O1152+O1090+O929+O921+O854+O795+O773+O647+O1197+O1211</f>
        <v>531330355.42</v>
      </c>
      <c r="P1214" s="133"/>
      <c r="Q1214" s="69">
        <f>Q1152+Q1090+Q929+Q921+Q854+Q795+Q773+Q647+Q1197+Q1211</f>
        <v>616166619.4200001</v>
      </c>
    </row>
    <row r="1215" spans="2:17" ht="15.75" customHeight="1">
      <c r="B1215" s="210" t="s">
        <v>474</v>
      </c>
      <c r="C1215" s="211"/>
      <c r="D1215" s="211"/>
      <c r="E1215" s="211"/>
      <c r="F1215" s="211"/>
      <c r="G1215" s="211"/>
      <c r="H1215" s="211"/>
      <c r="I1215" s="211"/>
      <c r="J1215" s="211"/>
      <c r="K1215" s="211"/>
      <c r="L1215" s="211"/>
      <c r="M1215" s="211"/>
      <c r="N1215" s="211"/>
      <c r="O1215" s="211"/>
      <c r="P1215" s="179"/>
      <c r="Q1215" s="200" t="s">
        <v>174</v>
      </c>
    </row>
    <row r="1216" spans="2:17" ht="15.75">
      <c r="B1216" s="212"/>
      <c r="C1216" s="213"/>
      <c r="D1216" s="213"/>
      <c r="E1216" s="213"/>
      <c r="F1216" s="213"/>
      <c r="G1216" s="213"/>
      <c r="H1216" s="213"/>
      <c r="I1216" s="213"/>
      <c r="J1216" s="213"/>
      <c r="K1216" s="213"/>
      <c r="L1216" s="213"/>
      <c r="M1216" s="213"/>
      <c r="N1216" s="213"/>
      <c r="O1216" s="213"/>
      <c r="P1216" s="177"/>
      <c r="Q1216" s="201"/>
    </row>
    <row r="1217" spans="2:17" ht="35.25" customHeight="1">
      <c r="B1217" s="212"/>
      <c r="C1217" s="213"/>
      <c r="D1217" s="213"/>
      <c r="E1217" s="213"/>
      <c r="F1217" s="213"/>
      <c r="G1217" s="213"/>
      <c r="H1217" s="213"/>
      <c r="I1217" s="213"/>
      <c r="J1217" s="213"/>
      <c r="K1217" s="213"/>
      <c r="L1217" s="213"/>
      <c r="M1217" s="213"/>
      <c r="N1217" s="213"/>
      <c r="O1217" s="213"/>
      <c r="P1217" s="177"/>
      <c r="Q1217" s="201"/>
    </row>
    <row r="1218" spans="2:17" ht="18.75" customHeight="1" hidden="1">
      <c r="B1218" s="214"/>
      <c r="C1218" s="215"/>
      <c r="D1218" s="215"/>
      <c r="E1218" s="215"/>
      <c r="F1218" s="215"/>
      <c r="G1218" s="215"/>
      <c r="H1218" s="215"/>
      <c r="I1218" s="215"/>
      <c r="J1218" s="215"/>
      <c r="K1218" s="215"/>
      <c r="L1218" s="215"/>
      <c r="M1218" s="215"/>
      <c r="N1218" s="215"/>
      <c r="O1218" s="215"/>
      <c r="P1218" s="180"/>
      <c r="Q1218" s="202"/>
    </row>
    <row r="1219" spans="2:17" ht="77.25" customHeight="1">
      <c r="B1219" s="2" t="s">
        <v>1</v>
      </c>
      <c r="C1219" s="2" t="s">
        <v>2</v>
      </c>
      <c r="D1219" s="44" t="s">
        <v>171</v>
      </c>
      <c r="E1219" s="2" t="s">
        <v>172</v>
      </c>
      <c r="F1219" s="2" t="s">
        <v>173</v>
      </c>
      <c r="G1219" s="39" t="s">
        <v>174</v>
      </c>
      <c r="H1219" s="3"/>
      <c r="I1219" s="39" t="s">
        <v>174</v>
      </c>
      <c r="J1219" s="3"/>
      <c r="K1219" s="39" t="s">
        <v>174</v>
      </c>
      <c r="L1219" s="133"/>
      <c r="M1219" s="39" t="s">
        <v>174</v>
      </c>
      <c r="N1219" s="133"/>
      <c r="O1219" s="39" t="s">
        <v>174</v>
      </c>
      <c r="P1219" s="133"/>
      <c r="Q1219" s="39" t="s">
        <v>174</v>
      </c>
    </row>
    <row r="1220" spans="2:17" ht="15" customHeight="1">
      <c r="B1220" s="83" t="s">
        <v>3</v>
      </c>
      <c r="C1220" s="4" t="s">
        <v>4</v>
      </c>
      <c r="D1220" s="45" t="s">
        <v>4</v>
      </c>
      <c r="E1220" s="8"/>
      <c r="F1220" s="8"/>
      <c r="G1220" s="60">
        <f>G1224+G1221</f>
        <v>0</v>
      </c>
      <c r="H1220" s="3"/>
      <c r="I1220" s="60">
        <f>I1224+I1221</f>
        <v>275500</v>
      </c>
      <c r="J1220" s="3"/>
      <c r="K1220" s="60">
        <f>K1224+K1221</f>
        <v>275500</v>
      </c>
      <c r="L1220" s="133"/>
      <c r="M1220" s="60">
        <f>M1224+M1221</f>
        <v>275500</v>
      </c>
      <c r="N1220" s="133"/>
      <c r="O1220" s="60">
        <f>O1224+O1221</f>
        <v>275500</v>
      </c>
      <c r="P1220" s="133"/>
      <c r="Q1220" s="60">
        <f>Q1224+Q1221</f>
        <v>275500</v>
      </c>
    </row>
    <row r="1221" spans="2:17" ht="15.75" hidden="1">
      <c r="B1221" s="7" t="s">
        <v>13</v>
      </c>
      <c r="C1221" s="4"/>
      <c r="D1221" s="46" t="s">
        <v>186</v>
      </c>
      <c r="E1221" s="8"/>
      <c r="F1221" s="8"/>
      <c r="G1221" s="60">
        <f>G1222</f>
        <v>0</v>
      </c>
      <c r="H1221" s="3"/>
      <c r="I1221" s="60">
        <f>I1222</f>
        <v>0</v>
      </c>
      <c r="J1221" s="3"/>
      <c r="K1221" s="60">
        <f>K1222</f>
        <v>0</v>
      </c>
      <c r="L1221" s="133"/>
      <c r="M1221" s="60">
        <f>M1222</f>
        <v>0</v>
      </c>
      <c r="N1221" s="133"/>
      <c r="O1221" s="60">
        <f>O1222</f>
        <v>0</v>
      </c>
      <c r="P1221" s="133"/>
      <c r="Q1221" s="60">
        <f>Q1222</f>
        <v>0</v>
      </c>
    </row>
    <row r="1222" spans="2:17" ht="47.25" hidden="1">
      <c r="B1222" s="7" t="s">
        <v>387</v>
      </c>
      <c r="C1222" s="4"/>
      <c r="D1222" s="46" t="s">
        <v>186</v>
      </c>
      <c r="E1222" s="8" t="s">
        <v>187</v>
      </c>
      <c r="F1222" s="8"/>
      <c r="G1222" s="60">
        <f>G1223</f>
        <v>0</v>
      </c>
      <c r="H1222" s="3"/>
      <c r="I1222" s="60">
        <f>I1223</f>
        <v>0</v>
      </c>
      <c r="J1222" s="3"/>
      <c r="K1222" s="60">
        <f>K1223</f>
        <v>0</v>
      </c>
      <c r="L1222" s="133"/>
      <c r="M1222" s="60">
        <f>M1223</f>
        <v>0</v>
      </c>
      <c r="N1222" s="133"/>
      <c r="O1222" s="60">
        <f>O1223</f>
        <v>0</v>
      </c>
      <c r="P1222" s="133"/>
      <c r="Q1222" s="60">
        <f>Q1223</f>
        <v>0</v>
      </c>
    </row>
    <row r="1223" spans="2:17" ht="31.5" hidden="1">
      <c r="B1223" s="7" t="s">
        <v>382</v>
      </c>
      <c r="C1223" s="4"/>
      <c r="D1223" s="46" t="s">
        <v>186</v>
      </c>
      <c r="E1223" s="8" t="s">
        <v>187</v>
      </c>
      <c r="F1223" s="8" t="s">
        <v>328</v>
      </c>
      <c r="G1223" s="60">
        <v>0</v>
      </c>
      <c r="H1223" s="3"/>
      <c r="I1223" s="60">
        <f>G1223+H1223</f>
        <v>0</v>
      </c>
      <c r="J1223" s="3"/>
      <c r="K1223" s="60">
        <f>I1223+J1223</f>
        <v>0</v>
      </c>
      <c r="L1223" s="133"/>
      <c r="M1223" s="60">
        <f>K1223+L1223</f>
        <v>0</v>
      </c>
      <c r="N1223" s="133"/>
      <c r="O1223" s="60">
        <f>M1223+N1223</f>
        <v>0</v>
      </c>
      <c r="P1223" s="133"/>
      <c r="Q1223" s="60">
        <f>O1223+P1223</f>
        <v>0</v>
      </c>
    </row>
    <row r="1224" spans="2:17" ht="15.75" customHeight="1">
      <c r="B1224" s="7" t="s">
        <v>18</v>
      </c>
      <c r="C1224" s="5"/>
      <c r="D1224" s="46" t="s">
        <v>219</v>
      </c>
      <c r="E1224" s="8"/>
      <c r="F1224" s="8"/>
      <c r="G1224" s="60">
        <f>G1226+G1229+G1232</f>
        <v>0</v>
      </c>
      <c r="H1224" s="3"/>
      <c r="I1224" s="60">
        <f>I1226+I1229+I1232</f>
        <v>275500</v>
      </c>
      <c r="J1224" s="3"/>
      <c r="K1224" s="60">
        <f>K1226+K1229+K1232</f>
        <v>275500</v>
      </c>
      <c r="L1224" s="133"/>
      <c r="M1224" s="60">
        <f>M1226+M1229+M1232</f>
        <v>275500</v>
      </c>
      <c r="N1224" s="133"/>
      <c r="O1224" s="60">
        <f>O1226+O1229+O1232</f>
        <v>275500</v>
      </c>
      <c r="P1224" s="133"/>
      <c r="Q1224" s="60">
        <f>Q1226+Q1229+Q1232</f>
        <v>275500</v>
      </c>
    </row>
    <row r="1225" spans="2:17" ht="31.5" customHeight="1" hidden="1">
      <c r="B1225" s="7" t="s">
        <v>217</v>
      </c>
      <c r="C1225" s="5"/>
      <c r="D1225" s="46" t="s">
        <v>219</v>
      </c>
      <c r="E1225" s="8" t="s">
        <v>216</v>
      </c>
      <c r="F1225" s="8"/>
      <c r="G1225" s="60" t="e">
        <f>#REF!</f>
        <v>#REF!</v>
      </c>
      <c r="H1225" s="3"/>
      <c r="I1225" s="60" t="e">
        <f>#REF!</f>
        <v>#REF!</v>
      </c>
      <c r="J1225" s="3"/>
      <c r="K1225" s="60" t="e">
        <f>#REF!</f>
        <v>#REF!</v>
      </c>
      <c r="L1225" s="133"/>
      <c r="M1225" s="60" t="e">
        <f>#REF!</f>
        <v>#REF!</v>
      </c>
      <c r="N1225" s="133"/>
      <c r="O1225" s="60" t="e">
        <f>#REF!</f>
        <v>#REF!</v>
      </c>
      <c r="P1225" s="133"/>
      <c r="Q1225" s="60" t="e">
        <f>#REF!</f>
        <v>#REF!</v>
      </c>
    </row>
    <row r="1226" spans="2:17" ht="78.75">
      <c r="B1226" s="7" t="s">
        <v>181</v>
      </c>
      <c r="C1226" s="4"/>
      <c r="D1226" s="46" t="s">
        <v>219</v>
      </c>
      <c r="E1226" s="8" t="s">
        <v>370</v>
      </c>
      <c r="F1226" s="8"/>
      <c r="G1226" s="60">
        <f>G1227+G1228</f>
        <v>0</v>
      </c>
      <c r="H1226" s="3"/>
      <c r="I1226" s="60">
        <f>I1227+I1228</f>
        <v>192000</v>
      </c>
      <c r="J1226" s="3"/>
      <c r="K1226" s="60">
        <f>K1227+K1228</f>
        <v>192000</v>
      </c>
      <c r="L1226" s="133"/>
      <c r="M1226" s="60">
        <f>M1227+M1228</f>
        <v>192000</v>
      </c>
      <c r="N1226" s="133"/>
      <c r="O1226" s="60">
        <f>O1227+O1228</f>
        <v>192000</v>
      </c>
      <c r="P1226" s="133"/>
      <c r="Q1226" s="60">
        <f>Q1227+Q1228</f>
        <v>192000</v>
      </c>
    </row>
    <row r="1227" spans="2:17" ht="47.25">
      <c r="B1227" s="31" t="s">
        <v>322</v>
      </c>
      <c r="C1227" s="6"/>
      <c r="D1227" s="44" t="s">
        <v>219</v>
      </c>
      <c r="E1227" s="6" t="s">
        <v>370</v>
      </c>
      <c r="F1227" s="6" t="s">
        <v>327</v>
      </c>
      <c r="G1227" s="60">
        <v>0</v>
      </c>
      <c r="H1227" s="3">
        <v>23624</v>
      </c>
      <c r="I1227" s="60">
        <f>G1227+H1227</f>
        <v>23624</v>
      </c>
      <c r="J1227" s="3">
        <v>0</v>
      </c>
      <c r="K1227" s="60">
        <f>I1227+J1227</f>
        <v>23624</v>
      </c>
      <c r="L1227" s="133"/>
      <c r="M1227" s="60">
        <f>K1227+L1227</f>
        <v>23624</v>
      </c>
      <c r="N1227" s="133"/>
      <c r="O1227" s="60">
        <f>M1227+N1227</f>
        <v>23624</v>
      </c>
      <c r="P1227" s="133"/>
      <c r="Q1227" s="60">
        <f>O1227+P1227</f>
        <v>23624</v>
      </c>
    </row>
    <row r="1228" spans="2:17" ht="30" customHeight="1">
      <c r="B1228" s="7" t="s">
        <v>382</v>
      </c>
      <c r="C1228" s="6"/>
      <c r="D1228" s="44" t="s">
        <v>219</v>
      </c>
      <c r="E1228" s="6" t="s">
        <v>370</v>
      </c>
      <c r="F1228" s="6" t="s">
        <v>328</v>
      </c>
      <c r="G1228" s="60">
        <v>0</v>
      </c>
      <c r="H1228" s="3">
        <v>168376</v>
      </c>
      <c r="I1228" s="60">
        <f>G1228+H1228</f>
        <v>168376</v>
      </c>
      <c r="J1228" s="3">
        <v>0</v>
      </c>
      <c r="K1228" s="60">
        <f>I1228+J1228</f>
        <v>168376</v>
      </c>
      <c r="L1228" s="133"/>
      <c r="M1228" s="60">
        <f>K1228+L1228</f>
        <v>168376</v>
      </c>
      <c r="N1228" s="133"/>
      <c r="O1228" s="60">
        <f>M1228+N1228</f>
        <v>168376</v>
      </c>
      <c r="P1228" s="133"/>
      <c r="Q1228" s="60">
        <f>O1228+P1228</f>
        <v>168376</v>
      </c>
    </row>
    <row r="1229" spans="2:17" ht="81" customHeight="1">
      <c r="B1229" s="31" t="s">
        <v>283</v>
      </c>
      <c r="C1229" s="8" t="s">
        <v>200</v>
      </c>
      <c r="D1229" s="8" t="s">
        <v>219</v>
      </c>
      <c r="E1229" s="8" t="s">
        <v>371</v>
      </c>
      <c r="F1229" s="8"/>
      <c r="G1229" s="60">
        <f>G1230+G1231</f>
        <v>0</v>
      </c>
      <c r="H1229" s="3"/>
      <c r="I1229" s="60">
        <f>I1230+I1231</f>
        <v>100</v>
      </c>
      <c r="J1229" s="3">
        <v>0</v>
      </c>
      <c r="K1229" s="60">
        <f>K1230+K1231</f>
        <v>100</v>
      </c>
      <c r="L1229" s="133"/>
      <c r="M1229" s="60">
        <f>M1230+M1231</f>
        <v>100</v>
      </c>
      <c r="N1229" s="133"/>
      <c r="O1229" s="60">
        <f>O1230+O1231</f>
        <v>100</v>
      </c>
      <c r="P1229" s="133"/>
      <c r="Q1229" s="60">
        <f>Q1230+Q1231</f>
        <v>100</v>
      </c>
    </row>
    <row r="1230" spans="2:17" ht="47.25">
      <c r="B1230" s="31" t="s">
        <v>322</v>
      </c>
      <c r="C1230" s="6"/>
      <c r="D1230" s="44" t="s">
        <v>219</v>
      </c>
      <c r="E1230" s="6" t="s">
        <v>371</v>
      </c>
      <c r="F1230" s="6" t="s">
        <v>327</v>
      </c>
      <c r="G1230" s="60">
        <v>0</v>
      </c>
      <c r="H1230" s="3">
        <v>0</v>
      </c>
      <c r="I1230" s="60">
        <f>G1230+H1230</f>
        <v>0</v>
      </c>
      <c r="J1230" s="3">
        <v>0</v>
      </c>
      <c r="K1230" s="60">
        <f>I1230+J1230</f>
        <v>0</v>
      </c>
      <c r="L1230" s="133"/>
      <c r="M1230" s="60">
        <f>K1230+L1230</f>
        <v>0</v>
      </c>
      <c r="N1230" s="133"/>
      <c r="O1230" s="60">
        <f>M1230+N1230</f>
        <v>0</v>
      </c>
      <c r="P1230" s="133"/>
      <c r="Q1230" s="60">
        <f>O1230+P1230</f>
        <v>0</v>
      </c>
    </row>
    <row r="1231" spans="2:17" ht="33" customHeight="1">
      <c r="B1231" s="7" t="s">
        <v>382</v>
      </c>
      <c r="C1231" s="6"/>
      <c r="D1231" s="44" t="s">
        <v>219</v>
      </c>
      <c r="E1231" s="6" t="s">
        <v>371</v>
      </c>
      <c r="F1231" s="6" t="s">
        <v>328</v>
      </c>
      <c r="G1231" s="60">
        <v>0</v>
      </c>
      <c r="H1231" s="3">
        <v>100</v>
      </c>
      <c r="I1231" s="60">
        <f>G1231+H1231</f>
        <v>100</v>
      </c>
      <c r="J1231" s="3">
        <v>0</v>
      </c>
      <c r="K1231" s="60">
        <f>I1231+J1231</f>
        <v>100</v>
      </c>
      <c r="L1231" s="133"/>
      <c r="M1231" s="60">
        <f>K1231+L1231</f>
        <v>100</v>
      </c>
      <c r="N1231" s="133"/>
      <c r="O1231" s="60">
        <f>M1231+N1231</f>
        <v>100</v>
      </c>
      <c r="P1231" s="133"/>
      <c r="Q1231" s="60">
        <f>O1231+P1231</f>
        <v>100</v>
      </c>
    </row>
    <row r="1232" spans="2:17" ht="47.25">
      <c r="B1232" s="96" t="s">
        <v>456</v>
      </c>
      <c r="C1232" s="8" t="s">
        <v>200</v>
      </c>
      <c r="D1232" s="8" t="s">
        <v>219</v>
      </c>
      <c r="E1232" s="8" t="s">
        <v>372</v>
      </c>
      <c r="F1232" s="8"/>
      <c r="G1232" s="60">
        <f>G1235</f>
        <v>0</v>
      </c>
      <c r="H1232" s="3"/>
      <c r="I1232" s="60">
        <f>I1234+I1235</f>
        <v>83400</v>
      </c>
      <c r="J1232" s="3"/>
      <c r="K1232" s="60">
        <f>K1234+K1235</f>
        <v>83400</v>
      </c>
      <c r="L1232" s="133"/>
      <c r="M1232" s="60">
        <f>M1234+M1235</f>
        <v>83400</v>
      </c>
      <c r="N1232" s="133"/>
      <c r="O1232" s="60">
        <f>O1234+O1235+O1233</f>
        <v>83400</v>
      </c>
      <c r="P1232" s="133"/>
      <c r="Q1232" s="60">
        <f>Q1234+Q1235+Q1233</f>
        <v>83400</v>
      </c>
    </row>
    <row r="1233" spans="2:17" ht="15.75">
      <c r="B1233" s="96" t="s">
        <v>320</v>
      </c>
      <c r="C1233" s="8"/>
      <c r="D1233" s="97" t="s">
        <v>219</v>
      </c>
      <c r="E1233" s="97" t="s">
        <v>372</v>
      </c>
      <c r="F1233" s="97" t="s">
        <v>325</v>
      </c>
      <c r="G1233" s="60"/>
      <c r="H1233" s="3"/>
      <c r="I1233" s="60"/>
      <c r="J1233" s="3"/>
      <c r="K1233" s="60"/>
      <c r="L1233" s="133"/>
      <c r="M1233" s="60"/>
      <c r="N1233" s="133">
        <v>64560</v>
      </c>
      <c r="O1233" s="60">
        <f>M1233+N1233</f>
        <v>64560</v>
      </c>
      <c r="P1233" s="133"/>
      <c r="Q1233" s="60">
        <f>O1233+P1233</f>
        <v>64560</v>
      </c>
    </row>
    <row r="1234" spans="2:17" ht="47.25">
      <c r="B1234" s="31" t="s">
        <v>322</v>
      </c>
      <c r="C1234" s="8"/>
      <c r="D1234" s="97" t="s">
        <v>219</v>
      </c>
      <c r="E1234" s="97" t="s">
        <v>372</v>
      </c>
      <c r="F1234" s="97" t="s">
        <v>327</v>
      </c>
      <c r="G1234" s="60"/>
      <c r="H1234" s="3">
        <v>14749</v>
      </c>
      <c r="I1234" s="60">
        <f>G1234+H1234</f>
        <v>14749</v>
      </c>
      <c r="J1234" s="3">
        <v>0</v>
      </c>
      <c r="K1234" s="60">
        <f>I1234+J1234</f>
        <v>14749</v>
      </c>
      <c r="L1234" s="133"/>
      <c r="M1234" s="60">
        <f>K1234+L1234</f>
        <v>14749</v>
      </c>
      <c r="N1234" s="133">
        <v>-10000</v>
      </c>
      <c r="O1234" s="60">
        <f>M1234+N1234</f>
        <v>4749</v>
      </c>
      <c r="P1234" s="133"/>
      <c r="Q1234" s="60">
        <f>O1234+P1234</f>
        <v>4749</v>
      </c>
    </row>
    <row r="1235" spans="2:17" ht="32.25" customHeight="1">
      <c r="B1235" s="7" t="s">
        <v>382</v>
      </c>
      <c r="C1235" s="8" t="s">
        <v>200</v>
      </c>
      <c r="D1235" s="8" t="s">
        <v>219</v>
      </c>
      <c r="E1235" s="8" t="s">
        <v>372</v>
      </c>
      <c r="F1235" s="8" t="s">
        <v>328</v>
      </c>
      <c r="G1235" s="60">
        <v>0</v>
      </c>
      <c r="H1235" s="3">
        <v>68651</v>
      </c>
      <c r="I1235" s="60">
        <f>G1235+H1235</f>
        <v>68651</v>
      </c>
      <c r="J1235" s="3">
        <v>0</v>
      </c>
      <c r="K1235" s="60">
        <f>I1235+J1235</f>
        <v>68651</v>
      </c>
      <c r="L1235" s="133"/>
      <c r="M1235" s="60">
        <f>K1235+L1235</f>
        <v>68651</v>
      </c>
      <c r="N1235" s="133">
        <v>-54560</v>
      </c>
      <c r="O1235" s="60">
        <f>M1235+N1235</f>
        <v>14091</v>
      </c>
      <c r="P1235" s="133"/>
      <c r="Q1235" s="60">
        <f>O1235+P1235</f>
        <v>14091</v>
      </c>
    </row>
    <row r="1236" spans="2:17" ht="18.75" customHeight="1">
      <c r="B1236" s="83" t="s">
        <v>23</v>
      </c>
      <c r="C1236" s="5" t="s">
        <v>24</v>
      </c>
      <c r="D1236" s="45" t="s">
        <v>24</v>
      </c>
      <c r="E1236" s="5"/>
      <c r="F1236" s="5"/>
      <c r="G1236" s="60">
        <f>G1237</f>
        <v>0</v>
      </c>
      <c r="H1236" s="3"/>
      <c r="I1236" s="60">
        <f>I1237</f>
        <v>1718400</v>
      </c>
      <c r="J1236" s="3"/>
      <c r="K1236" s="60">
        <f>K1237</f>
        <v>1718400</v>
      </c>
      <c r="L1236" s="133"/>
      <c r="M1236" s="60">
        <f>M1237</f>
        <v>1718400</v>
      </c>
      <c r="N1236" s="133"/>
      <c r="O1236" s="60">
        <f>O1237</f>
        <v>1718400</v>
      </c>
      <c r="P1236" s="133"/>
      <c r="Q1236" s="60">
        <f>Q1237</f>
        <v>1718400</v>
      </c>
    </row>
    <row r="1237" spans="2:17" ht="15.75">
      <c r="B1237" s="7" t="s">
        <v>155</v>
      </c>
      <c r="C1237" s="4"/>
      <c r="D1237" s="46" t="s">
        <v>156</v>
      </c>
      <c r="E1237" s="4"/>
      <c r="F1237" s="4"/>
      <c r="G1237" s="60">
        <f>G1238</f>
        <v>0</v>
      </c>
      <c r="H1237" s="3"/>
      <c r="I1237" s="60">
        <f>I1238</f>
        <v>1718400</v>
      </c>
      <c r="J1237" s="3"/>
      <c r="K1237" s="60">
        <f>K1238</f>
        <v>1718400</v>
      </c>
      <c r="L1237" s="133"/>
      <c r="M1237" s="60">
        <f>M1238</f>
        <v>1718400</v>
      </c>
      <c r="N1237" s="133"/>
      <c r="O1237" s="60">
        <f>O1238</f>
        <v>1718400</v>
      </c>
      <c r="P1237" s="133"/>
      <c r="Q1237" s="60">
        <f>Q1238</f>
        <v>1718400</v>
      </c>
    </row>
    <row r="1238" spans="2:17" ht="31.5">
      <c r="B1238" s="7" t="s">
        <v>6</v>
      </c>
      <c r="C1238" s="4"/>
      <c r="D1238" s="46" t="s">
        <v>156</v>
      </c>
      <c r="E1238" s="4" t="s">
        <v>7</v>
      </c>
      <c r="F1238" s="4"/>
      <c r="G1238" s="60">
        <f>G1239</f>
        <v>0</v>
      </c>
      <c r="H1238" s="3"/>
      <c r="I1238" s="60">
        <f>I1239</f>
        <v>1718400</v>
      </c>
      <c r="J1238" s="3"/>
      <c r="K1238" s="60">
        <f>K1239</f>
        <v>1718400</v>
      </c>
      <c r="L1238" s="133"/>
      <c r="M1238" s="60">
        <f>M1239</f>
        <v>1718400</v>
      </c>
      <c r="N1238" s="133"/>
      <c r="O1238" s="60">
        <f>O1239</f>
        <v>1718400</v>
      </c>
      <c r="P1238" s="133"/>
      <c r="Q1238" s="60">
        <f>Q1239</f>
        <v>1718400</v>
      </c>
    </row>
    <row r="1239" spans="2:17" ht="47.25">
      <c r="B1239" s="7" t="s">
        <v>157</v>
      </c>
      <c r="C1239" s="4"/>
      <c r="D1239" s="46" t="s">
        <v>156</v>
      </c>
      <c r="E1239" s="4" t="s">
        <v>158</v>
      </c>
      <c r="F1239" s="4"/>
      <c r="G1239" s="60">
        <f>G1240+G1241+G1242+G1243</f>
        <v>0</v>
      </c>
      <c r="H1239" s="3"/>
      <c r="I1239" s="60">
        <f>I1240+I1241+I1242+I1243</f>
        <v>1718400</v>
      </c>
      <c r="J1239" s="3"/>
      <c r="K1239" s="60">
        <f>K1240+K1241+K1242+K1243</f>
        <v>1718400</v>
      </c>
      <c r="L1239" s="133"/>
      <c r="M1239" s="60">
        <f>M1240+M1241+M1242+M1243</f>
        <v>1718400</v>
      </c>
      <c r="N1239" s="133"/>
      <c r="O1239" s="60">
        <f>O1240+O1241+O1242+O1243</f>
        <v>1718400</v>
      </c>
      <c r="P1239" s="133"/>
      <c r="Q1239" s="60">
        <f>Q1240+Q1241+Q1242+Q1243</f>
        <v>1718400</v>
      </c>
    </row>
    <row r="1240" spans="2:17" ht="15.75">
      <c r="B1240" s="31" t="s">
        <v>320</v>
      </c>
      <c r="C1240" s="8">
        <v>901</v>
      </c>
      <c r="D1240" s="8" t="s">
        <v>156</v>
      </c>
      <c r="E1240" s="8" t="s">
        <v>158</v>
      </c>
      <c r="F1240" s="8" t="s">
        <v>325</v>
      </c>
      <c r="G1240" s="86">
        <v>0</v>
      </c>
      <c r="H1240" s="3">
        <v>1004500</v>
      </c>
      <c r="I1240" s="86">
        <f>G1240+H1240</f>
        <v>1004500</v>
      </c>
      <c r="J1240" s="3">
        <v>0</v>
      </c>
      <c r="K1240" s="86">
        <v>1074840</v>
      </c>
      <c r="L1240" s="133">
        <v>162693</v>
      </c>
      <c r="M1240" s="86">
        <f>K1240+L1240</f>
        <v>1237533</v>
      </c>
      <c r="N1240" s="133">
        <v>0</v>
      </c>
      <c r="O1240" s="86">
        <f>M1240+N1240</f>
        <v>1237533</v>
      </c>
      <c r="P1240" s="133"/>
      <c r="Q1240" s="86">
        <f>O1240+P1240</f>
        <v>1237533</v>
      </c>
    </row>
    <row r="1241" spans="2:17" ht="33.75" customHeight="1">
      <c r="B1241" s="31" t="s">
        <v>321</v>
      </c>
      <c r="C1241" s="8">
        <v>901</v>
      </c>
      <c r="D1241" s="8" t="s">
        <v>156</v>
      </c>
      <c r="E1241" s="8" t="s">
        <v>158</v>
      </c>
      <c r="F1241" s="8" t="s">
        <v>326</v>
      </c>
      <c r="G1241" s="86">
        <v>0</v>
      </c>
      <c r="H1241" s="3">
        <v>0</v>
      </c>
      <c r="I1241" s="86">
        <f>G1241+H1241</f>
        <v>0</v>
      </c>
      <c r="J1241" s="3">
        <v>0</v>
      </c>
      <c r="K1241" s="86">
        <f>I1241+J1241</f>
        <v>0</v>
      </c>
      <c r="L1241" s="133">
        <v>690</v>
      </c>
      <c r="M1241" s="86">
        <f>K1241+L1241</f>
        <v>690</v>
      </c>
      <c r="N1241" s="133">
        <v>0</v>
      </c>
      <c r="O1241" s="86">
        <f>M1241+N1241</f>
        <v>690</v>
      </c>
      <c r="P1241" s="133"/>
      <c r="Q1241" s="86">
        <f>O1241+P1241</f>
        <v>690</v>
      </c>
    </row>
    <row r="1242" spans="2:17" ht="47.25">
      <c r="B1242" s="31" t="s">
        <v>322</v>
      </c>
      <c r="C1242" s="8">
        <v>901</v>
      </c>
      <c r="D1242" s="8" t="s">
        <v>156</v>
      </c>
      <c r="E1242" s="8" t="s">
        <v>158</v>
      </c>
      <c r="F1242" s="8" t="s">
        <v>327</v>
      </c>
      <c r="G1242" s="86">
        <v>0</v>
      </c>
      <c r="H1242" s="3">
        <v>168250</v>
      </c>
      <c r="I1242" s="86">
        <f>G1242+H1242</f>
        <v>168250</v>
      </c>
      <c r="J1242" s="3">
        <v>0</v>
      </c>
      <c r="K1242" s="86">
        <v>160000</v>
      </c>
      <c r="L1242" s="133">
        <v>-31500</v>
      </c>
      <c r="M1242" s="86">
        <f>K1242+L1242</f>
        <v>128500</v>
      </c>
      <c r="N1242" s="133">
        <v>76996</v>
      </c>
      <c r="O1242" s="86">
        <f>M1242+N1242</f>
        <v>205496</v>
      </c>
      <c r="P1242" s="133"/>
      <c r="Q1242" s="86">
        <f>O1242+P1242</f>
        <v>205496</v>
      </c>
    </row>
    <row r="1243" spans="2:17" ht="30.75" customHeight="1">
      <c r="B1243" s="7" t="s">
        <v>382</v>
      </c>
      <c r="C1243" s="8">
        <v>901</v>
      </c>
      <c r="D1243" s="8" t="s">
        <v>156</v>
      </c>
      <c r="E1243" s="8" t="s">
        <v>158</v>
      </c>
      <c r="F1243" s="8" t="s">
        <v>328</v>
      </c>
      <c r="G1243" s="86">
        <v>0</v>
      </c>
      <c r="H1243" s="3">
        <v>545650</v>
      </c>
      <c r="I1243" s="86">
        <f>G1243+H1243</f>
        <v>545650</v>
      </c>
      <c r="J1243" s="3">
        <v>0</v>
      </c>
      <c r="K1243" s="86">
        <v>483560</v>
      </c>
      <c r="L1243" s="133">
        <v>-131883</v>
      </c>
      <c r="M1243" s="86">
        <f>K1243+L1243</f>
        <v>351677</v>
      </c>
      <c r="N1243" s="133">
        <v>-76996</v>
      </c>
      <c r="O1243" s="86">
        <f>M1243+N1243</f>
        <v>274681</v>
      </c>
      <c r="P1243" s="133"/>
      <c r="Q1243" s="86">
        <f>O1243+P1243</f>
        <v>274681</v>
      </c>
    </row>
    <row r="1244" spans="2:17" ht="17.25" customHeight="1">
      <c r="B1244" s="75" t="s">
        <v>74</v>
      </c>
      <c r="C1244" s="6" t="s">
        <v>75</v>
      </c>
      <c r="D1244" s="47" t="s">
        <v>75</v>
      </c>
      <c r="E1244" s="6"/>
      <c r="F1244" s="6"/>
      <c r="G1244" s="60">
        <f>G1245</f>
        <v>0</v>
      </c>
      <c r="H1244" s="3">
        <v>0</v>
      </c>
      <c r="I1244" s="60">
        <f>I1245</f>
        <v>258072000</v>
      </c>
      <c r="J1244" s="3">
        <v>0</v>
      </c>
      <c r="K1244" s="60">
        <f>K1245</f>
        <v>258072000</v>
      </c>
      <c r="L1244" s="133"/>
      <c r="M1244" s="60">
        <f>M1245</f>
        <v>258072000</v>
      </c>
      <c r="N1244" s="133"/>
      <c r="O1244" s="60">
        <f>O1245</f>
        <v>261799000</v>
      </c>
      <c r="P1244" s="133"/>
      <c r="Q1244" s="60">
        <f>Q1245</f>
        <v>270291000</v>
      </c>
    </row>
    <row r="1245" spans="2:17" ht="15.75">
      <c r="B1245" s="19" t="s">
        <v>76</v>
      </c>
      <c r="C1245" s="19"/>
      <c r="D1245" s="48" t="s">
        <v>77</v>
      </c>
      <c r="E1245" s="15"/>
      <c r="F1245" s="15"/>
      <c r="G1245" s="60">
        <f>G1246</f>
        <v>0</v>
      </c>
      <c r="H1245" s="3"/>
      <c r="I1245" s="60">
        <f>I1246</f>
        <v>258072000</v>
      </c>
      <c r="J1245" s="3"/>
      <c r="K1245" s="60">
        <f>K1246</f>
        <v>258072000</v>
      </c>
      <c r="L1245" s="133"/>
      <c r="M1245" s="60">
        <f>M1246</f>
        <v>258072000</v>
      </c>
      <c r="N1245" s="133"/>
      <c r="O1245" s="60">
        <f>O1246</f>
        <v>261799000</v>
      </c>
      <c r="P1245" s="133"/>
      <c r="Q1245" s="60">
        <f>Q1246</f>
        <v>270291000</v>
      </c>
    </row>
    <row r="1246" spans="2:17" ht="30.75" customHeight="1">
      <c r="B1246" s="12" t="s">
        <v>81</v>
      </c>
      <c r="C1246" s="6"/>
      <c r="D1246" s="44" t="s">
        <v>77</v>
      </c>
      <c r="E1246" s="6" t="s">
        <v>82</v>
      </c>
      <c r="F1246" s="6"/>
      <c r="G1246" s="60">
        <f>G1247+G1250</f>
        <v>0</v>
      </c>
      <c r="H1246" s="3"/>
      <c r="I1246" s="60">
        <f>I1247+I1250</f>
        <v>258072000</v>
      </c>
      <c r="J1246" s="3"/>
      <c r="K1246" s="60">
        <f>K1247+K1250</f>
        <v>258072000</v>
      </c>
      <c r="L1246" s="133"/>
      <c r="M1246" s="60">
        <f>M1247+M1250</f>
        <v>258072000</v>
      </c>
      <c r="N1246" s="133"/>
      <c r="O1246" s="60">
        <f>O1247+O1250</f>
        <v>261799000</v>
      </c>
      <c r="P1246" s="133"/>
      <c r="Q1246" s="60">
        <f>Q1247+Q1250</f>
        <v>270291000</v>
      </c>
    </row>
    <row r="1247" spans="2:17" s="168" customFormat="1" ht="31.5">
      <c r="B1247" s="11" t="s">
        <v>123</v>
      </c>
      <c r="C1247" s="6"/>
      <c r="D1247" s="6" t="s">
        <v>77</v>
      </c>
      <c r="E1247" s="6" t="s">
        <v>124</v>
      </c>
      <c r="F1247" s="6"/>
      <c r="G1247" s="167">
        <f>G1248</f>
        <v>0</v>
      </c>
      <c r="H1247" s="112"/>
      <c r="I1247" s="167">
        <f>I1248</f>
        <v>0</v>
      </c>
      <c r="J1247" s="112"/>
      <c r="K1247" s="167">
        <f>K1248</f>
        <v>0</v>
      </c>
      <c r="L1247" s="134"/>
      <c r="M1247" s="167">
        <f>M1248</f>
        <v>0</v>
      </c>
      <c r="N1247" s="134"/>
      <c r="O1247" s="167">
        <f>O1248+O1249</f>
        <v>2999000</v>
      </c>
      <c r="P1247" s="134"/>
      <c r="Q1247" s="167">
        <f>Q1248+Q1249</f>
        <v>2999000</v>
      </c>
    </row>
    <row r="1248" spans="2:17" s="168" customFormat="1" ht="15.75">
      <c r="B1248" s="92" t="s">
        <v>320</v>
      </c>
      <c r="C1248" s="6"/>
      <c r="D1248" s="6" t="s">
        <v>77</v>
      </c>
      <c r="E1248" s="6" t="s">
        <v>124</v>
      </c>
      <c r="F1248" s="6" t="s">
        <v>325</v>
      </c>
      <c r="G1248" s="167">
        <v>0</v>
      </c>
      <c r="H1248" s="112"/>
      <c r="I1248" s="167">
        <f>G1248+H1248</f>
        <v>0</v>
      </c>
      <c r="J1248" s="112"/>
      <c r="K1248" s="167">
        <f>I1248+J1248</f>
        <v>0</v>
      </c>
      <c r="L1248" s="134"/>
      <c r="M1248" s="167">
        <f>K1248+L1248</f>
        <v>0</v>
      </c>
      <c r="N1248" s="134">
        <f>2999000-94254</f>
        <v>2904746</v>
      </c>
      <c r="O1248" s="167">
        <f>M1248+N1248</f>
        <v>2904746</v>
      </c>
      <c r="P1248" s="134"/>
      <c r="Q1248" s="167">
        <f>O1248+P1248</f>
        <v>2904746</v>
      </c>
    </row>
    <row r="1249" spans="2:17" s="168" customFormat="1" ht="31.5">
      <c r="B1249" s="96" t="s">
        <v>548</v>
      </c>
      <c r="C1249" s="6"/>
      <c r="D1249" s="6" t="s">
        <v>77</v>
      </c>
      <c r="E1249" s="6" t="s">
        <v>124</v>
      </c>
      <c r="F1249" s="6" t="s">
        <v>547</v>
      </c>
      <c r="G1249" s="167"/>
      <c r="H1249" s="112"/>
      <c r="I1249" s="167"/>
      <c r="J1249" s="112"/>
      <c r="K1249" s="167"/>
      <c r="L1249" s="134"/>
      <c r="M1249" s="167"/>
      <c r="N1249" s="134">
        <v>94254</v>
      </c>
      <c r="O1249" s="167">
        <f>M1249+N1249</f>
        <v>94254</v>
      </c>
      <c r="P1249" s="134"/>
      <c r="Q1249" s="167">
        <f>O1249+P1249</f>
        <v>94254</v>
      </c>
    </row>
    <row r="1250" spans="2:17" ht="255.75" customHeight="1">
      <c r="B1250" s="56" t="s">
        <v>227</v>
      </c>
      <c r="C1250" s="6"/>
      <c r="D1250" s="6" t="s">
        <v>77</v>
      </c>
      <c r="E1250" s="6" t="s">
        <v>340</v>
      </c>
      <c r="F1250" s="6"/>
      <c r="G1250" s="86">
        <f>G1251+G1256+G1260</f>
        <v>0</v>
      </c>
      <c r="H1250" s="3"/>
      <c r="I1250" s="86">
        <v>258072000</v>
      </c>
      <c r="J1250" s="3"/>
      <c r="K1250" s="86">
        <v>258072000</v>
      </c>
      <c r="L1250" s="133"/>
      <c r="M1250" s="86">
        <f>M1251+M1256+M1260</f>
        <v>258072000</v>
      </c>
      <c r="N1250" s="133"/>
      <c r="O1250" s="86">
        <f>O1251+O1256+O1260</f>
        <v>258800000</v>
      </c>
      <c r="P1250" s="133"/>
      <c r="Q1250" s="86">
        <f>Q1251+Q1256+Q1260</f>
        <v>267292000</v>
      </c>
    </row>
    <row r="1251" spans="2:17" ht="173.25">
      <c r="B1251" s="88" t="s">
        <v>337</v>
      </c>
      <c r="C1251" s="6"/>
      <c r="D1251" s="8" t="s">
        <v>77</v>
      </c>
      <c r="E1251" s="8" t="s">
        <v>341</v>
      </c>
      <c r="F1251" s="8"/>
      <c r="G1251" s="86">
        <f>G1252+G1253</f>
        <v>0</v>
      </c>
      <c r="H1251" s="3"/>
      <c r="I1251" s="86">
        <f>I1252+I1253</f>
        <v>0</v>
      </c>
      <c r="J1251" s="3"/>
      <c r="K1251" s="86">
        <f>K1252+K1253</f>
        <v>0</v>
      </c>
      <c r="L1251" s="133"/>
      <c r="M1251" s="86">
        <f>M1252+M1253</f>
        <v>255119000</v>
      </c>
      <c r="N1251" s="133"/>
      <c r="O1251" s="86">
        <f>O1252+O1253+O1254</f>
        <v>255119000</v>
      </c>
      <c r="P1251" s="133"/>
      <c r="Q1251" s="86">
        <f>Q1252+Q1253+Q1254+Q1255</f>
        <v>263611000</v>
      </c>
    </row>
    <row r="1252" spans="2:17" ht="15.75">
      <c r="B1252" s="31" t="s">
        <v>320</v>
      </c>
      <c r="C1252" s="6"/>
      <c r="D1252" s="8" t="s">
        <v>77</v>
      </c>
      <c r="E1252" s="8" t="s">
        <v>341</v>
      </c>
      <c r="F1252" s="8" t="s">
        <v>325</v>
      </c>
      <c r="G1252" s="86">
        <v>0</v>
      </c>
      <c r="H1252" s="3">
        <v>0</v>
      </c>
      <c r="I1252" s="86">
        <f>G1252+H1252</f>
        <v>0</v>
      </c>
      <c r="J1252" s="3">
        <v>0</v>
      </c>
      <c r="K1252" s="86">
        <f>I1252+J1252</f>
        <v>0</v>
      </c>
      <c r="L1252" s="133">
        <v>254532800</v>
      </c>
      <c r="M1252" s="86">
        <f>K1252+L1252</f>
        <v>254532800</v>
      </c>
      <c r="N1252" s="133">
        <v>-9302630.79</v>
      </c>
      <c r="O1252" s="86">
        <f>M1252+N1252</f>
        <v>245230169.21</v>
      </c>
      <c r="P1252" s="192">
        <f>8492000-555891</f>
        <v>7936109</v>
      </c>
      <c r="Q1252" s="86">
        <f>O1252+P1252</f>
        <v>253166278.21</v>
      </c>
    </row>
    <row r="1253" spans="2:17" ht="15.75" customHeight="1">
      <c r="B1253" s="31" t="s">
        <v>321</v>
      </c>
      <c r="C1253" s="6"/>
      <c r="D1253" s="8" t="s">
        <v>77</v>
      </c>
      <c r="E1253" s="8" t="s">
        <v>341</v>
      </c>
      <c r="F1253" s="8" t="s">
        <v>326</v>
      </c>
      <c r="G1253" s="86">
        <v>0</v>
      </c>
      <c r="H1253" s="3"/>
      <c r="I1253" s="86">
        <f>G1253+H1253</f>
        <v>0</v>
      </c>
      <c r="J1253" s="3"/>
      <c r="K1253" s="86">
        <f>I1253+J1253</f>
        <v>0</v>
      </c>
      <c r="L1253" s="133">
        <v>586200</v>
      </c>
      <c r="M1253" s="86">
        <f>K1253+L1253</f>
        <v>586200</v>
      </c>
      <c r="N1253" s="133">
        <v>-18000</v>
      </c>
      <c r="O1253" s="86">
        <f>M1253+N1253</f>
        <v>568200</v>
      </c>
      <c r="P1253" s="133"/>
      <c r="Q1253" s="86">
        <f>O1253+P1253</f>
        <v>568200</v>
      </c>
    </row>
    <row r="1254" spans="2:17" ht="63">
      <c r="B1254" s="96" t="s">
        <v>546</v>
      </c>
      <c r="C1254" s="6"/>
      <c r="D1254" s="8" t="s">
        <v>77</v>
      </c>
      <c r="E1254" s="8" t="s">
        <v>341</v>
      </c>
      <c r="F1254" s="97" t="s">
        <v>545</v>
      </c>
      <c r="G1254" s="86"/>
      <c r="H1254" s="3"/>
      <c r="I1254" s="86"/>
      <c r="J1254" s="3"/>
      <c r="K1254" s="86"/>
      <c r="L1254" s="133"/>
      <c r="M1254" s="86"/>
      <c r="N1254" s="133">
        <v>9320630.79</v>
      </c>
      <c r="O1254" s="86">
        <f>M1254+N1254</f>
        <v>9320630.79</v>
      </c>
      <c r="P1254" s="133"/>
      <c r="Q1254" s="86">
        <f>O1254+P1254</f>
        <v>9320630.79</v>
      </c>
    </row>
    <row r="1255" spans="2:17" ht="31.5">
      <c r="B1255" s="96" t="s">
        <v>548</v>
      </c>
      <c r="C1255" s="6"/>
      <c r="D1255" s="8" t="s">
        <v>77</v>
      </c>
      <c r="E1255" s="8" t="s">
        <v>341</v>
      </c>
      <c r="F1255" s="97" t="s">
        <v>547</v>
      </c>
      <c r="G1255" s="86"/>
      <c r="H1255" s="3"/>
      <c r="I1255" s="86"/>
      <c r="J1255" s="3"/>
      <c r="K1255" s="86"/>
      <c r="L1255" s="133"/>
      <c r="M1255" s="86"/>
      <c r="N1255" s="133"/>
      <c r="O1255" s="86"/>
      <c r="P1255" s="133">
        <v>555891</v>
      </c>
      <c r="Q1255" s="86">
        <f>O1255+P1255</f>
        <v>555891</v>
      </c>
    </row>
    <row r="1256" spans="2:17" ht="223.5" customHeight="1">
      <c r="B1256" s="88" t="s">
        <v>338</v>
      </c>
      <c r="C1256" s="6"/>
      <c r="D1256" s="8" t="s">
        <v>77</v>
      </c>
      <c r="E1256" s="8" t="s">
        <v>342</v>
      </c>
      <c r="F1256" s="8"/>
      <c r="G1256" s="86">
        <f>G1257+G1258</f>
        <v>0</v>
      </c>
      <c r="H1256" s="3"/>
      <c r="I1256" s="86">
        <f>I1257+I1258</f>
        <v>0</v>
      </c>
      <c r="J1256" s="3"/>
      <c r="K1256" s="86">
        <f>K1257+K1258</f>
        <v>0</v>
      </c>
      <c r="L1256" s="133"/>
      <c r="M1256" s="86">
        <f>M1257+M1258</f>
        <v>1165000</v>
      </c>
      <c r="N1256" s="133"/>
      <c r="O1256" s="86">
        <f>O1257+O1258+O1259</f>
        <v>1893000</v>
      </c>
      <c r="P1256" s="133"/>
      <c r="Q1256" s="86">
        <f>Q1257+Q1258+Q1259</f>
        <v>1987687.13</v>
      </c>
    </row>
    <row r="1257" spans="2:17" ht="47.25">
      <c r="B1257" s="88" t="s">
        <v>322</v>
      </c>
      <c r="C1257" s="6"/>
      <c r="D1257" s="8" t="s">
        <v>77</v>
      </c>
      <c r="E1257" s="8" t="s">
        <v>342</v>
      </c>
      <c r="F1257" s="8" t="s">
        <v>327</v>
      </c>
      <c r="G1257" s="86">
        <v>0</v>
      </c>
      <c r="H1257" s="3">
        <v>0</v>
      </c>
      <c r="I1257" s="86">
        <f>G1257+H1257</f>
        <v>0</v>
      </c>
      <c r="J1257" s="3">
        <v>0</v>
      </c>
      <c r="K1257" s="86">
        <f>I1257+J1257</f>
        <v>0</v>
      </c>
      <c r="L1257" s="133">
        <v>130000</v>
      </c>
      <c r="M1257" s="86">
        <f>K1257+L1257</f>
        <v>130000</v>
      </c>
      <c r="N1257" s="133">
        <v>-10000</v>
      </c>
      <c r="O1257" s="86">
        <f>M1257+N1257</f>
        <v>120000</v>
      </c>
      <c r="P1257" s="133"/>
      <c r="Q1257" s="86">
        <f>O1257+P1257</f>
        <v>120000</v>
      </c>
    </row>
    <row r="1258" spans="2:17" ht="31.5">
      <c r="B1258" s="31" t="s">
        <v>382</v>
      </c>
      <c r="C1258" s="6"/>
      <c r="D1258" s="8" t="s">
        <v>77</v>
      </c>
      <c r="E1258" s="8" t="s">
        <v>342</v>
      </c>
      <c r="F1258" s="8" t="s">
        <v>328</v>
      </c>
      <c r="G1258" s="86">
        <v>0</v>
      </c>
      <c r="H1258" s="3">
        <v>0</v>
      </c>
      <c r="I1258" s="86">
        <f>G1258+H1258</f>
        <v>0</v>
      </c>
      <c r="J1258" s="3">
        <v>0</v>
      </c>
      <c r="K1258" s="86">
        <f>I1258+J1258</f>
        <v>0</v>
      </c>
      <c r="L1258" s="133">
        <v>1035000</v>
      </c>
      <c r="M1258" s="86">
        <f>K1258+L1258</f>
        <v>1035000</v>
      </c>
      <c r="N1258" s="133">
        <f>728000-22200-75000</f>
        <v>630800</v>
      </c>
      <c r="O1258" s="86">
        <f>M1258+N1258</f>
        <v>1665800</v>
      </c>
      <c r="P1258" s="133">
        <v>94687.13</v>
      </c>
      <c r="Q1258" s="86">
        <f>O1258+P1258</f>
        <v>1760487.13</v>
      </c>
    </row>
    <row r="1259" spans="2:17" ht="63">
      <c r="B1259" s="96" t="s">
        <v>546</v>
      </c>
      <c r="C1259" s="6"/>
      <c r="D1259" s="8" t="s">
        <v>77</v>
      </c>
      <c r="E1259" s="8" t="s">
        <v>342</v>
      </c>
      <c r="F1259" s="97" t="s">
        <v>545</v>
      </c>
      <c r="G1259" s="86"/>
      <c r="H1259" s="3"/>
      <c r="I1259" s="86"/>
      <c r="J1259" s="3"/>
      <c r="K1259" s="86"/>
      <c r="L1259" s="133"/>
      <c r="M1259" s="86"/>
      <c r="N1259" s="133">
        <f>22200+85000</f>
        <v>107200</v>
      </c>
      <c r="O1259" s="86">
        <f>M1259+N1259</f>
        <v>107200</v>
      </c>
      <c r="P1259" s="133"/>
      <c r="Q1259" s="86">
        <f>O1259+P1259</f>
        <v>107200</v>
      </c>
    </row>
    <row r="1260" spans="2:17" ht="157.5">
      <c r="B1260" s="88" t="s">
        <v>339</v>
      </c>
      <c r="C1260" s="6"/>
      <c r="D1260" s="8" t="s">
        <v>77</v>
      </c>
      <c r="E1260" s="8" t="s">
        <v>343</v>
      </c>
      <c r="F1260" s="8"/>
      <c r="G1260" s="86">
        <f>G1261+G1262</f>
        <v>0</v>
      </c>
      <c r="H1260" s="3"/>
      <c r="I1260" s="86">
        <f>I1261+I1262</f>
        <v>0</v>
      </c>
      <c r="J1260" s="3"/>
      <c r="K1260" s="86">
        <f>K1261+K1262</f>
        <v>0</v>
      </c>
      <c r="L1260" s="133"/>
      <c r="M1260" s="86">
        <f>M1261+M1262</f>
        <v>1788000</v>
      </c>
      <c r="N1260" s="133"/>
      <c r="O1260" s="86">
        <f>O1261+O1262+O1263</f>
        <v>1788000</v>
      </c>
      <c r="P1260" s="133"/>
      <c r="Q1260" s="86">
        <f>Q1261+Q1262+Q1263</f>
        <v>1693312.8699999999</v>
      </c>
    </row>
    <row r="1261" spans="2:17" ht="47.25">
      <c r="B1261" s="88" t="s">
        <v>322</v>
      </c>
      <c r="C1261" s="6"/>
      <c r="D1261" s="8" t="s">
        <v>77</v>
      </c>
      <c r="E1261" s="8" t="s">
        <v>343</v>
      </c>
      <c r="F1261" s="8" t="s">
        <v>327</v>
      </c>
      <c r="G1261" s="86">
        <v>0</v>
      </c>
      <c r="H1261" s="3">
        <v>0</v>
      </c>
      <c r="I1261" s="86">
        <f>G1261+H1261</f>
        <v>0</v>
      </c>
      <c r="J1261" s="3">
        <v>0</v>
      </c>
      <c r="K1261" s="86">
        <f>I1261+J1261</f>
        <v>0</v>
      </c>
      <c r="L1261" s="133">
        <v>1383446.94</v>
      </c>
      <c r="M1261" s="86">
        <f>K1261+L1261</f>
        <v>1383446.94</v>
      </c>
      <c r="N1261" s="133">
        <v>-40954</v>
      </c>
      <c r="O1261" s="86">
        <f>M1261+N1261</f>
        <v>1342492.94</v>
      </c>
      <c r="P1261" s="133"/>
      <c r="Q1261" s="86">
        <f>O1261+P1261</f>
        <v>1342492.94</v>
      </c>
    </row>
    <row r="1262" spans="2:17" ht="31.5">
      <c r="B1262" s="31" t="s">
        <v>382</v>
      </c>
      <c r="C1262" s="6"/>
      <c r="D1262" s="8" t="s">
        <v>77</v>
      </c>
      <c r="E1262" s="8" t="s">
        <v>343</v>
      </c>
      <c r="F1262" s="8" t="s">
        <v>328</v>
      </c>
      <c r="G1262" s="86">
        <v>0</v>
      </c>
      <c r="H1262" s="3">
        <v>0</v>
      </c>
      <c r="I1262" s="86">
        <f>G1262+H1262</f>
        <v>0</v>
      </c>
      <c r="J1262" s="3">
        <v>0</v>
      </c>
      <c r="K1262" s="86">
        <f>I1262+J1262</f>
        <v>0</v>
      </c>
      <c r="L1262" s="133">
        <v>404553.06</v>
      </c>
      <c r="M1262" s="86">
        <f>K1262+L1262</f>
        <v>404553.06</v>
      </c>
      <c r="N1262" s="133">
        <v>-34000</v>
      </c>
      <c r="O1262" s="86">
        <f>M1262+N1262</f>
        <v>370553.06</v>
      </c>
      <c r="P1262" s="133">
        <v>-94687.13</v>
      </c>
      <c r="Q1262" s="86">
        <f>O1262+P1262</f>
        <v>275865.93</v>
      </c>
    </row>
    <row r="1263" spans="2:17" ht="63">
      <c r="B1263" s="96" t="s">
        <v>546</v>
      </c>
      <c r="C1263" s="6"/>
      <c r="D1263" s="8" t="s">
        <v>77</v>
      </c>
      <c r="E1263" s="8" t="s">
        <v>343</v>
      </c>
      <c r="F1263" s="97" t="s">
        <v>545</v>
      </c>
      <c r="G1263" s="86"/>
      <c r="H1263" s="3"/>
      <c r="I1263" s="86"/>
      <c r="J1263" s="3"/>
      <c r="K1263" s="86"/>
      <c r="L1263" s="133"/>
      <c r="M1263" s="86"/>
      <c r="N1263" s="133">
        <v>74954</v>
      </c>
      <c r="O1263" s="86">
        <f>M1263+N1263</f>
        <v>74954</v>
      </c>
      <c r="P1263" s="133"/>
      <c r="Q1263" s="86">
        <f>O1263+P1263</f>
        <v>74954</v>
      </c>
    </row>
    <row r="1264" spans="2:17" ht="15.75">
      <c r="B1264" s="82" t="s">
        <v>96</v>
      </c>
      <c r="C1264" s="6">
        <v>1000</v>
      </c>
      <c r="D1264" s="47" t="s">
        <v>175</v>
      </c>
      <c r="E1264" s="6"/>
      <c r="F1264" s="6"/>
      <c r="G1264" s="60">
        <f>G1265+G1273</f>
        <v>0</v>
      </c>
      <c r="H1264" s="3"/>
      <c r="I1264" s="60">
        <f>I1265+I1273</f>
        <v>79964000</v>
      </c>
      <c r="J1264" s="3"/>
      <c r="K1264" s="60">
        <f>K1265+K1273</f>
        <v>79964000</v>
      </c>
      <c r="L1264" s="133"/>
      <c r="M1264" s="60">
        <f>M1265+M1273</f>
        <v>79964000</v>
      </c>
      <c r="N1264" s="133"/>
      <c r="O1264" s="60">
        <f>O1265+O1273</f>
        <v>79964000</v>
      </c>
      <c r="P1264" s="133"/>
      <c r="Q1264" s="60">
        <f>Q1265+Q1273</f>
        <v>79964000</v>
      </c>
    </row>
    <row r="1265" spans="2:17" ht="15.75">
      <c r="B1265" s="11" t="s">
        <v>97</v>
      </c>
      <c r="C1265" s="6"/>
      <c r="D1265" s="44">
        <v>1003</v>
      </c>
      <c r="E1265" s="6"/>
      <c r="F1265" s="6"/>
      <c r="G1265" s="60">
        <f>G1266+G1271</f>
        <v>0</v>
      </c>
      <c r="H1265" s="3"/>
      <c r="I1265" s="60">
        <f>I1266+I1271</f>
        <v>79964000</v>
      </c>
      <c r="J1265" s="3"/>
      <c r="K1265" s="60">
        <f>K1266+K1271</f>
        <v>79964000</v>
      </c>
      <c r="L1265" s="133"/>
      <c r="M1265" s="60">
        <f>M1266+M1271</f>
        <v>75446676.3</v>
      </c>
      <c r="N1265" s="133"/>
      <c r="O1265" s="60">
        <f>O1266+O1271</f>
        <v>75446676.3</v>
      </c>
      <c r="P1265" s="133"/>
      <c r="Q1265" s="60">
        <f>Q1266+Q1271</f>
        <v>75446676.3</v>
      </c>
    </row>
    <row r="1266" spans="2:17" ht="15.75">
      <c r="B1266" s="11" t="s">
        <v>201</v>
      </c>
      <c r="C1266" s="6"/>
      <c r="D1266" s="44">
        <v>1003</v>
      </c>
      <c r="E1266" s="6">
        <v>5050000</v>
      </c>
      <c r="F1266" s="6"/>
      <c r="G1266" s="60">
        <f>G1269+G1267</f>
        <v>0</v>
      </c>
      <c r="H1266" s="3"/>
      <c r="I1266" s="60">
        <f>I1269+I1267</f>
        <v>15685000</v>
      </c>
      <c r="J1266" s="3"/>
      <c r="K1266" s="60">
        <f>K1269+K1267</f>
        <v>15685000</v>
      </c>
      <c r="L1266" s="133"/>
      <c r="M1266" s="60">
        <f>M1269+M1267</f>
        <v>15354179.3</v>
      </c>
      <c r="N1266" s="133"/>
      <c r="O1266" s="60">
        <f>O1269+O1267</f>
        <v>15354179.3</v>
      </c>
      <c r="P1266" s="133"/>
      <c r="Q1266" s="60">
        <f>Q1269+Q1267</f>
        <v>15354179.3</v>
      </c>
    </row>
    <row r="1267" spans="2:17" ht="31.5" customHeight="1">
      <c r="B1267" s="32" t="s">
        <v>204</v>
      </c>
      <c r="C1267" s="8" t="s">
        <v>200</v>
      </c>
      <c r="D1267" s="8" t="s">
        <v>98</v>
      </c>
      <c r="E1267" s="8" t="s">
        <v>205</v>
      </c>
      <c r="F1267" s="8"/>
      <c r="G1267" s="71">
        <f>G1268</f>
        <v>0</v>
      </c>
      <c r="H1267" s="52"/>
      <c r="I1267" s="71">
        <f>I1268</f>
        <v>11416000</v>
      </c>
      <c r="J1267" s="52"/>
      <c r="K1267" s="71">
        <f>K1268</f>
        <v>11416000</v>
      </c>
      <c r="L1267" s="138"/>
      <c r="M1267" s="71">
        <f>M1268</f>
        <v>11416000</v>
      </c>
      <c r="N1267" s="138"/>
      <c r="O1267" s="71">
        <f>O1268</f>
        <v>11416000</v>
      </c>
      <c r="P1267" s="138"/>
      <c r="Q1267" s="71">
        <f>Q1268</f>
        <v>11416000</v>
      </c>
    </row>
    <row r="1268" spans="2:17" ht="32.25" customHeight="1">
      <c r="B1268" s="31" t="s">
        <v>345</v>
      </c>
      <c r="C1268" s="8" t="s">
        <v>200</v>
      </c>
      <c r="D1268" s="8" t="s">
        <v>98</v>
      </c>
      <c r="E1268" s="8" t="s">
        <v>205</v>
      </c>
      <c r="F1268" s="8" t="s">
        <v>347</v>
      </c>
      <c r="G1268" s="71">
        <v>0</v>
      </c>
      <c r="H1268" s="52">
        <v>11416000</v>
      </c>
      <c r="I1268" s="71">
        <f>G1268+H1268</f>
        <v>11416000</v>
      </c>
      <c r="J1268" s="52">
        <v>0</v>
      </c>
      <c r="K1268" s="71">
        <f>I1268+J1268</f>
        <v>11416000</v>
      </c>
      <c r="L1268" s="138"/>
      <c r="M1268" s="71">
        <f>K1268+L1268</f>
        <v>11416000</v>
      </c>
      <c r="N1268" s="138"/>
      <c r="O1268" s="71">
        <f>M1268+N1268</f>
        <v>11416000</v>
      </c>
      <c r="P1268" s="138"/>
      <c r="Q1268" s="71">
        <f>O1268+P1268</f>
        <v>11416000</v>
      </c>
    </row>
    <row r="1269" spans="2:17" ht="47.25">
      <c r="B1269" s="11" t="s">
        <v>284</v>
      </c>
      <c r="C1269" s="6"/>
      <c r="D1269" s="44">
        <v>1003</v>
      </c>
      <c r="E1269" s="6" t="s">
        <v>373</v>
      </c>
      <c r="F1269" s="6"/>
      <c r="G1269" s="60">
        <f>G1270</f>
        <v>0</v>
      </c>
      <c r="H1269" s="3"/>
      <c r="I1269" s="60">
        <f>I1270</f>
        <v>4269000</v>
      </c>
      <c r="J1269" s="3"/>
      <c r="K1269" s="60">
        <f>K1270</f>
        <v>4269000</v>
      </c>
      <c r="L1269" s="133"/>
      <c r="M1269" s="60">
        <f>M1270</f>
        <v>3938179.3</v>
      </c>
      <c r="N1269" s="133"/>
      <c r="O1269" s="60">
        <f>O1270</f>
        <v>3938179.3</v>
      </c>
      <c r="P1269" s="133"/>
      <c r="Q1269" s="60">
        <f>Q1270</f>
        <v>3938179.3</v>
      </c>
    </row>
    <row r="1270" spans="2:17" ht="31.5">
      <c r="B1270" s="54" t="s">
        <v>366</v>
      </c>
      <c r="C1270" s="6"/>
      <c r="D1270" s="44" t="s">
        <v>98</v>
      </c>
      <c r="E1270" s="6" t="s">
        <v>373</v>
      </c>
      <c r="F1270" s="6" t="s">
        <v>365</v>
      </c>
      <c r="G1270" s="60">
        <v>0</v>
      </c>
      <c r="H1270" s="3">
        <v>4269000</v>
      </c>
      <c r="I1270" s="60">
        <f>G1270+H1270</f>
        <v>4269000</v>
      </c>
      <c r="J1270" s="3">
        <v>0</v>
      </c>
      <c r="K1270" s="60">
        <f>I1270+J1270</f>
        <v>4269000</v>
      </c>
      <c r="L1270" s="133">
        <v>-330820.7</v>
      </c>
      <c r="M1270" s="60">
        <f>K1270+L1270</f>
        <v>3938179.3</v>
      </c>
      <c r="N1270" s="133">
        <v>0</v>
      </c>
      <c r="O1270" s="60">
        <f>M1270+N1270</f>
        <v>3938179.3</v>
      </c>
      <c r="P1270" s="133"/>
      <c r="Q1270" s="60">
        <f>O1270+P1270</f>
        <v>3938179.3</v>
      </c>
    </row>
    <row r="1271" spans="2:17" ht="63.75" customHeight="1">
      <c r="B1271" s="51" t="s">
        <v>206</v>
      </c>
      <c r="C1271" s="6"/>
      <c r="D1271" s="44" t="s">
        <v>98</v>
      </c>
      <c r="E1271" s="6" t="s">
        <v>374</v>
      </c>
      <c r="F1271" s="6"/>
      <c r="G1271" s="60">
        <f>G1272</f>
        <v>0</v>
      </c>
      <c r="H1271" s="3"/>
      <c r="I1271" s="60">
        <f>I1272</f>
        <v>64279000</v>
      </c>
      <c r="J1271" s="3"/>
      <c r="K1271" s="60">
        <f>K1272</f>
        <v>64279000</v>
      </c>
      <c r="L1271" s="133"/>
      <c r="M1271" s="60">
        <f>M1272</f>
        <v>60092497</v>
      </c>
      <c r="N1271" s="133"/>
      <c r="O1271" s="60">
        <f>O1272</f>
        <v>60092497</v>
      </c>
      <c r="P1271" s="133"/>
      <c r="Q1271" s="60">
        <f>Q1272</f>
        <v>60092497</v>
      </c>
    </row>
    <row r="1272" spans="2:17" ht="36.75" customHeight="1">
      <c r="B1272" s="11" t="s">
        <v>366</v>
      </c>
      <c r="C1272" s="6"/>
      <c r="D1272" s="44" t="s">
        <v>98</v>
      </c>
      <c r="E1272" s="6" t="s">
        <v>374</v>
      </c>
      <c r="F1272" s="6" t="s">
        <v>365</v>
      </c>
      <c r="G1272" s="60">
        <v>0</v>
      </c>
      <c r="H1272" s="3">
        <v>64279000</v>
      </c>
      <c r="I1272" s="60">
        <f>G1272+H1272</f>
        <v>64279000</v>
      </c>
      <c r="J1272" s="3">
        <v>0</v>
      </c>
      <c r="K1272" s="60">
        <f>I1272+J1272</f>
        <v>64279000</v>
      </c>
      <c r="L1272" s="133">
        <v>-4186503</v>
      </c>
      <c r="M1272" s="60">
        <f>K1272+L1272</f>
        <v>60092497</v>
      </c>
      <c r="N1272" s="133">
        <v>0</v>
      </c>
      <c r="O1272" s="60">
        <f>M1272+N1272</f>
        <v>60092497</v>
      </c>
      <c r="P1272" s="133"/>
      <c r="Q1272" s="60">
        <f>O1272+P1272</f>
        <v>60092497</v>
      </c>
    </row>
    <row r="1273" spans="2:17" ht="34.5" customHeight="1">
      <c r="B1273" s="7" t="s">
        <v>257</v>
      </c>
      <c r="C1273" s="2"/>
      <c r="D1273" s="47" t="s">
        <v>258</v>
      </c>
      <c r="E1273" s="2"/>
      <c r="F1273" s="2"/>
      <c r="G1273" s="60">
        <f>G1274+G1279</f>
        <v>0</v>
      </c>
      <c r="H1273" s="3"/>
      <c r="I1273" s="60">
        <f>I1274+I1279</f>
        <v>0</v>
      </c>
      <c r="J1273" s="3"/>
      <c r="K1273" s="60">
        <f>K1274+K1279</f>
        <v>0</v>
      </c>
      <c r="L1273" s="133"/>
      <c r="M1273" s="60">
        <f>M1274+M1279</f>
        <v>4517323.7</v>
      </c>
      <c r="N1273" s="133"/>
      <c r="O1273" s="60">
        <f>O1274+O1279</f>
        <v>4517323.7</v>
      </c>
      <c r="P1273" s="133"/>
      <c r="Q1273" s="60">
        <f>Q1274+Q1279</f>
        <v>4517323.7</v>
      </c>
    </row>
    <row r="1274" spans="2:17" ht="49.5" customHeight="1">
      <c r="B1274" s="32" t="s">
        <v>185</v>
      </c>
      <c r="C1274" s="87" t="s">
        <v>200</v>
      </c>
      <c r="D1274" s="44" t="s">
        <v>258</v>
      </c>
      <c r="E1274" s="44" t="s">
        <v>373</v>
      </c>
      <c r="F1274" s="44"/>
      <c r="G1274" s="60">
        <f>G1275+G1276+G1277+G1278</f>
        <v>0</v>
      </c>
      <c r="H1274" s="3"/>
      <c r="I1274" s="60">
        <f>I1275+I1276+I1277+I1278</f>
        <v>0</v>
      </c>
      <c r="J1274" s="3"/>
      <c r="K1274" s="60">
        <f>K1275+K1276+K1277+K1278</f>
        <v>0</v>
      </c>
      <c r="L1274" s="133"/>
      <c r="M1274" s="60">
        <f>M1275+M1276+M1277+M1278</f>
        <v>330820.70000000007</v>
      </c>
      <c r="N1274" s="133"/>
      <c r="O1274" s="60">
        <f>O1275+O1276+O1277+O1278</f>
        <v>330820.70000000007</v>
      </c>
      <c r="P1274" s="133"/>
      <c r="Q1274" s="60">
        <f>Q1275+Q1276+Q1277+Q1278</f>
        <v>330820.70000000007</v>
      </c>
    </row>
    <row r="1275" spans="2:17" ht="33" customHeight="1">
      <c r="B1275" s="31" t="s">
        <v>321</v>
      </c>
      <c r="C1275" s="87" t="s">
        <v>200</v>
      </c>
      <c r="D1275" s="44" t="s">
        <v>258</v>
      </c>
      <c r="E1275" s="44" t="s">
        <v>373</v>
      </c>
      <c r="F1275" s="44" t="s">
        <v>326</v>
      </c>
      <c r="G1275" s="60">
        <v>0</v>
      </c>
      <c r="H1275" s="44"/>
      <c r="I1275" s="60">
        <f>G1275+H1275</f>
        <v>0</v>
      </c>
      <c r="J1275" s="44"/>
      <c r="K1275" s="60">
        <f>I1275+J1275</f>
        <v>0</v>
      </c>
      <c r="L1275" s="155" t="s">
        <v>497</v>
      </c>
      <c r="M1275" s="60">
        <f>K1275+L1275</f>
        <v>400</v>
      </c>
      <c r="N1275" s="155" t="s">
        <v>402</v>
      </c>
      <c r="O1275" s="60">
        <f>M1275+N1275</f>
        <v>400</v>
      </c>
      <c r="P1275" s="155"/>
      <c r="Q1275" s="60">
        <f>O1275+P1275</f>
        <v>400</v>
      </c>
    </row>
    <row r="1276" spans="2:17" ht="48" customHeight="1">
      <c r="B1276" s="31" t="s">
        <v>322</v>
      </c>
      <c r="C1276" s="87" t="s">
        <v>200</v>
      </c>
      <c r="D1276" s="44" t="s">
        <v>258</v>
      </c>
      <c r="E1276" s="44" t="s">
        <v>373</v>
      </c>
      <c r="F1276" s="44" t="s">
        <v>327</v>
      </c>
      <c r="G1276" s="60">
        <v>0</v>
      </c>
      <c r="H1276" s="101" t="s">
        <v>402</v>
      </c>
      <c r="I1276" s="60">
        <f>G1276+H1276</f>
        <v>0</v>
      </c>
      <c r="J1276" s="101" t="s">
        <v>402</v>
      </c>
      <c r="K1276" s="60">
        <f>I1276+J1276</f>
        <v>0</v>
      </c>
      <c r="L1276" s="159">
        <f>95288.1-3300</f>
        <v>91988.1</v>
      </c>
      <c r="M1276" s="60">
        <f>K1276+L1276</f>
        <v>91988.1</v>
      </c>
      <c r="N1276" s="159">
        <v>0</v>
      </c>
      <c r="O1276" s="60">
        <f>M1276+N1276</f>
        <v>91988.1</v>
      </c>
      <c r="P1276" s="159"/>
      <c r="Q1276" s="60">
        <f>O1276+P1276</f>
        <v>91988.1</v>
      </c>
    </row>
    <row r="1277" spans="2:17" ht="33" customHeight="1">
      <c r="B1277" s="7" t="s">
        <v>382</v>
      </c>
      <c r="C1277" s="87" t="s">
        <v>200</v>
      </c>
      <c r="D1277" s="44" t="s">
        <v>258</v>
      </c>
      <c r="E1277" s="44" t="s">
        <v>373</v>
      </c>
      <c r="F1277" s="44" t="s">
        <v>328</v>
      </c>
      <c r="G1277" s="60">
        <v>0</v>
      </c>
      <c r="H1277" s="101" t="s">
        <v>402</v>
      </c>
      <c r="I1277" s="60">
        <f>G1277+H1277</f>
        <v>0</v>
      </c>
      <c r="J1277" s="101" t="s">
        <v>402</v>
      </c>
      <c r="K1277" s="60">
        <f>I1277+J1277</f>
        <v>0</v>
      </c>
      <c r="L1277" s="159">
        <f>215441.7+3300</f>
        <v>218741.7</v>
      </c>
      <c r="M1277" s="60">
        <f>K1277+L1277</f>
        <v>218741.7</v>
      </c>
      <c r="N1277" s="159">
        <v>0</v>
      </c>
      <c r="O1277" s="60">
        <f>M1277+N1277</f>
        <v>218741.7</v>
      </c>
      <c r="P1277" s="159"/>
      <c r="Q1277" s="60">
        <f>O1277+P1277</f>
        <v>218741.7</v>
      </c>
    </row>
    <row r="1278" spans="2:17" ht="31.5" customHeight="1">
      <c r="B1278" s="54" t="s">
        <v>366</v>
      </c>
      <c r="C1278" s="87" t="s">
        <v>200</v>
      </c>
      <c r="D1278" s="44" t="s">
        <v>258</v>
      </c>
      <c r="E1278" s="44" t="s">
        <v>373</v>
      </c>
      <c r="F1278" s="44" t="s">
        <v>365</v>
      </c>
      <c r="G1278" s="60">
        <v>0</v>
      </c>
      <c r="H1278" s="44"/>
      <c r="I1278" s="60">
        <f>G1278+H1278</f>
        <v>0</v>
      </c>
      <c r="J1278" s="44"/>
      <c r="K1278" s="60">
        <f>I1278+J1278</f>
        <v>0</v>
      </c>
      <c r="L1278" s="155" t="s">
        <v>496</v>
      </c>
      <c r="M1278" s="60">
        <f>K1278+L1278</f>
        <v>19690.9</v>
      </c>
      <c r="N1278" s="155" t="s">
        <v>402</v>
      </c>
      <c r="O1278" s="60">
        <f>M1278+N1278</f>
        <v>19690.9</v>
      </c>
      <c r="P1278" s="155"/>
      <c r="Q1278" s="60">
        <f>O1278+P1278</f>
        <v>19690.9</v>
      </c>
    </row>
    <row r="1279" spans="2:17" ht="78.75">
      <c r="B1279" s="51" t="s">
        <v>206</v>
      </c>
      <c r="C1279" s="87"/>
      <c r="D1279" s="44" t="s">
        <v>258</v>
      </c>
      <c r="E1279" s="44" t="s">
        <v>374</v>
      </c>
      <c r="F1279" s="44"/>
      <c r="G1279" s="60">
        <f>G1280+G1281+G1282+G1283</f>
        <v>0</v>
      </c>
      <c r="H1279" s="44"/>
      <c r="I1279" s="60">
        <f>I1280+I1281+I1282+I1283</f>
        <v>0</v>
      </c>
      <c r="J1279" s="44"/>
      <c r="K1279" s="60">
        <f>K1280+K1281+K1282+K1283</f>
        <v>0</v>
      </c>
      <c r="L1279" s="154"/>
      <c r="M1279" s="60">
        <f>M1280+M1281+M1282+M1283</f>
        <v>4186503</v>
      </c>
      <c r="N1279" s="154"/>
      <c r="O1279" s="60">
        <f>O1280+O1281+O1282+O1283</f>
        <v>4186503</v>
      </c>
      <c r="P1279" s="154"/>
      <c r="Q1279" s="60">
        <f>Q1280+Q1281+Q1282+Q1283</f>
        <v>4186503</v>
      </c>
    </row>
    <row r="1280" spans="2:17" ht="15.75">
      <c r="B1280" s="31" t="s">
        <v>320</v>
      </c>
      <c r="C1280" s="87"/>
      <c r="D1280" s="44" t="s">
        <v>258</v>
      </c>
      <c r="E1280" s="44" t="s">
        <v>374</v>
      </c>
      <c r="F1280" s="44" t="s">
        <v>325</v>
      </c>
      <c r="G1280" s="60">
        <v>0</v>
      </c>
      <c r="H1280" s="44"/>
      <c r="I1280" s="60">
        <f>G1280+H1280</f>
        <v>0</v>
      </c>
      <c r="J1280" s="44"/>
      <c r="K1280" s="60">
        <f>I1280+J1280</f>
        <v>0</v>
      </c>
      <c r="L1280" s="155" t="s">
        <v>494</v>
      </c>
      <c r="M1280" s="60">
        <f>K1280+L1280</f>
        <v>2033620</v>
      </c>
      <c r="N1280" s="155" t="s">
        <v>402</v>
      </c>
      <c r="O1280" s="60">
        <f>M1280+N1280</f>
        <v>2033620</v>
      </c>
      <c r="P1280" s="155"/>
      <c r="Q1280" s="60">
        <f>O1280+P1280</f>
        <v>2033620</v>
      </c>
    </row>
    <row r="1281" spans="2:17" ht="18.75" customHeight="1">
      <c r="B1281" s="31" t="s">
        <v>321</v>
      </c>
      <c r="C1281" s="87"/>
      <c r="D1281" s="44" t="s">
        <v>258</v>
      </c>
      <c r="E1281" s="44" t="s">
        <v>374</v>
      </c>
      <c r="F1281" s="44" t="s">
        <v>326</v>
      </c>
      <c r="G1281" s="60">
        <v>0</v>
      </c>
      <c r="H1281" s="44"/>
      <c r="I1281" s="60">
        <f>G1281+H1281</f>
        <v>0</v>
      </c>
      <c r="J1281" s="44"/>
      <c r="K1281" s="60">
        <f>I1281+J1281</f>
        <v>0</v>
      </c>
      <c r="L1281" s="155" t="s">
        <v>495</v>
      </c>
      <c r="M1281" s="60">
        <f>K1281+L1281</f>
        <v>2000</v>
      </c>
      <c r="N1281" s="155" t="s">
        <v>402</v>
      </c>
      <c r="O1281" s="60">
        <f>M1281+N1281</f>
        <v>2000</v>
      </c>
      <c r="P1281" s="155"/>
      <c r="Q1281" s="60">
        <f>O1281+P1281</f>
        <v>2000</v>
      </c>
    </row>
    <row r="1282" spans="2:17" ht="48.75" customHeight="1">
      <c r="B1282" s="31" t="s">
        <v>322</v>
      </c>
      <c r="C1282" s="87"/>
      <c r="D1282" s="44" t="s">
        <v>258</v>
      </c>
      <c r="E1282" s="44" t="s">
        <v>374</v>
      </c>
      <c r="F1282" s="44" t="s">
        <v>327</v>
      </c>
      <c r="G1282" s="60">
        <v>0</v>
      </c>
      <c r="H1282" s="101" t="s">
        <v>402</v>
      </c>
      <c r="I1282" s="60">
        <f>G1282+H1282</f>
        <v>0</v>
      </c>
      <c r="J1282" s="101" t="s">
        <v>402</v>
      </c>
      <c r="K1282" s="60">
        <f>I1282+J1282</f>
        <v>0</v>
      </c>
      <c r="L1282" s="159">
        <f>486706-76800</f>
        <v>409906</v>
      </c>
      <c r="M1282" s="60">
        <f>K1282+L1282</f>
        <v>409906</v>
      </c>
      <c r="N1282" s="159">
        <v>0</v>
      </c>
      <c r="O1282" s="60">
        <f>M1282+N1282</f>
        <v>409906</v>
      </c>
      <c r="P1282" s="159"/>
      <c r="Q1282" s="60">
        <f>O1282+P1282</f>
        <v>409906</v>
      </c>
    </row>
    <row r="1283" spans="2:17" ht="31.5" customHeight="1">
      <c r="B1283" s="7" t="s">
        <v>382</v>
      </c>
      <c r="C1283" s="87"/>
      <c r="D1283" s="44" t="s">
        <v>258</v>
      </c>
      <c r="E1283" s="44" t="s">
        <v>374</v>
      </c>
      <c r="F1283" s="44" t="s">
        <v>328</v>
      </c>
      <c r="G1283" s="60">
        <v>0</v>
      </c>
      <c r="H1283" s="101" t="s">
        <v>402</v>
      </c>
      <c r="I1283" s="60">
        <f>G1283+H1283</f>
        <v>0</v>
      </c>
      <c r="J1283" s="101" t="s">
        <v>402</v>
      </c>
      <c r="K1283" s="60">
        <f>I1283+J1283</f>
        <v>0</v>
      </c>
      <c r="L1283" s="159">
        <f>1664177+76800</f>
        <v>1740977</v>
      </c>
      <c r="M1283" s="60">
        <f>K1283+L1283</f>
        <v>1740977</v>
      </c>
      <c r="N1283" s="159">
        <v>0</v>
      </c>
      <c r="O1283" s="60">
        <f>M1283+N1283</f>
        <v>1740977</v>
      </c>
      <c r="P1283" s="159"/>
      <c r="Q1283" s="60">
        <f>O1283+P1283</f>
        <v>1740977</v>
      </c>
    </row>
    <row r="1284" spans="2:17" ht="21.75" customHeight="1">
      <c r="B1284" s="64" t="s">
        <v>176</v>
      </c>
      <c r="C1284" s="64"/>
      <c r="D1284" s="65"/>
      <c r="E1284" s="66"/>
      <c r="F1284" s="66"/>
      <c r="G1284" s="67" t="e">
        <f>G1220+G1236+G1244+G1264+#REF!</f>
        <v>#REF!</v>
      </c>
      <c r="H1284" s="68"/>
      <c r="I1284" s="67">
        <f>I1220+I1236+I1244+I1264</f>
        <v>340029900</v>
      </c>
      <c r="J1284" s="68"/>
      <c r="K1284" s="67">
        <f>K1220+K1236+K1244+K1264</f>
        <v>340029900</v>
      </c>
      <c r="L1284" s="149"/>
      <c r="M1284" s="67">
        <f>M1220+M1236+M1244+M1264</f>
        <v>340029900</v>
      </c>
      <c r="N1284" s="149"/>
      <c r="O1284" s="67">
        <f>O1220+O1236+O1244+O1264</f>
        <v>343756900</v>
      </c>
      <c r="P1284" s="149"/>
      <c r="Q1284" s="67">
        <f>Q1220+Q1236+Q1244+Q1264</f>
        <v>352248900</v>
      </c>
    </row>
    <row r="1285" spans="2:6" ht="15.75">
      <c r="B1285" s="21"/>
      <c r="C1285" s="33"/>
      <c r="D1285" s="49"/>
      <c r="E1285" s="34"/>
      <c r="F1285" s="34"/>
    </row>
    <row r="1286" spans="2:6" ht="15.75">
      <c r="B1286" s="21"/>
      <c r="C1286" s="33"/>
      <c r="D1286" s="49"/>
      <c r="E1286" s="34"/>
      <c r="F1286" s="34"/>
    </row>
    <row r="1287" spans="2:6" ht="15.75">
      <c r="B1287" s="21"/>
      <c r="C1287" s="33"/>
      <c r="D1287" s="49"/>
      <c r="E1287" s="34"/>
      <c r="F1287" s="34"/>
    </row>
    <row r="1288" spans="2:6" ht="15.75">
      <c r="B1288" s="21"/>
      <c r="C1288" s="33"/>
      <c r="D1288" s="49"/>
      <c r="E1288" s="34"/>
      <c r="F1288" s="34"/>
    </row>
    <row r="1289" spans="2:6" ht="15.75">
      <c r="B1289" s="21"/>
      <c r="C1289" s="33"/>
      <c r="D1289" s="49"/>
      <c r="E1289" s="34"/>
      <c r="F1289" s="34"/>
    </row>
    <row r="1290" spans="2:6" ht="15.75">
      <c r="B1290" s="21"/>
      <c r="C1290" s="33"/>
      <c r="D1290" s="49"/>
      <c r="E1290" s="34"/>
      <c r="F1290" s="34"/>
    </row>
    <row r="1291" spans="2:6" ht="15.75">
      <c r="B1291" s="21"/>
      <c r="C1291" s="33"/>
      <c r="D1291" s="49"/>
      <c r="E1291" s="34"/>
      <c r="F1291" s="34"/>
    </row>
    <row r="1292" spans="2:6" ht="15.75">
      <c r="B1292" s="21"/>
      <c r="C1292" s="33"/>
      <c r="D1292" s="49"/>
      <c r="E1292" s="34"/>
      <c r="F1292" s="34"/>
    </row>
    <row r="1293" spans="2:6" ht="15.75">
      <c r="B1293" s="21"/>
      <c r="C1293" s="33"/>
      <c r="D1293" s="49"/>
      <c r="E1293" s="34"/>
      <c r="F1293" s="34"/>
    </row>
    <row r="1294" spans="2:6" ht="15.75">
      <c r="B1294" s="21"/>
      <c r="C1294" s="33"/>
      <c r="D1294" s="49"/>
      <c r="E1294" s="34"/>
      <c r="F1294" s="34"/>
    </row>
    <row r="1295" spans="2:6" ht="15.75">
      <c r="B1295" s="21"/>
      <c r="C1295" s="33"/>
      <c r="D1295" s="49"/>
      <c r="E1295" s="34"/>
      <c r="F1295" s="34"/>
    </row>
    <row r="1296" spans="2:6" ht="15.75">
      <c r="B1296" s="21"/>
      <c r="C1296" s="33"/>
      <c r="D1296" s="49"/>
      <c r="E1296" s="34"/>
      <c r="F1296" s="34"/>
    </row>
    <row r="1297" spans="2:6" ht="15.75">
      <c r="B1297" s="21"/>
      <c r="C1297" s="33"/>
      <c r="D1297" s="49"/>
      <c r="E1297" s="34"/>
      <c r="F1297" s="34"/>
    </row>
    <row r="1298" spans="2:6" ht="15.75">
      <c r="B1298" s="21"/>
      <c r="C1298" s="33"/>
      <c r="D1298" s="49"/>
      <c r="E1298" s="34"/>
      <c r="F1298" s="34"/>
    </row>
    <row r="1299" spans="2:6" ht="15.75">
      <c r="B1299" s="21"/>
      <c r="C1299" s="33"/>
      <c r="D1299" s="49"/>
      <c r="E1299" s="34"/>
      <c r="F1299" s="34"/>
    </row>
    <row r="1300" spans="2:6" ht="15.75">
      <c r="B1300" s="21"/>
      <c r="C1300" s="33"/>
      <c r="D1300" s="49"/>
      <c r="E1300" s="34"/>
      <c r="F1300" s="34"/>
    </row>
    <row r="1301" spans="2:6" ht="15.75">
      <c r="B1301" s="21"/>
      <c r="C1301" s="33"/>
      <c r="D1301" s="49"/>
      <c r="E1301" s="34"/>
      <c r="F1301" s="34"/>
    </row>
    <row r="1302" spans="2:6" ht="15.75">
      <c r="B1302" s="21"/>
      <c r="C1302" s="33"/>
      <c r="D1302" s="49"/>
      <c r="E1302" s="34"/>
      <c r="F1302" s="34"/>
    </row>
    <row r="1303" spans="2:6" ht="15.75">
      <c r="B1303" s="21"/>
      <c r="C1303" s="33"/>
      <c r="D1303" s="49"/>
      <c r="E1303" s="34"/>
      <c r="F1303" s="34"/>
    </row>
    <row r="1304" spans="2:6" ht="15.75">
      <c r="B1304" s="21"/>
      <c r="C1304" s="33"/>
      <c r="D1304" s="49"/>
      <c r="E1304" s="34"/>
      <c r="F1304" s="34"/>
    </row>
    <row r="1305" spans="2:6" ht="15.75">
      <c r="B1305" s="21"/>
      <c r="C1305" s="33"/>
      <c r="D1305" s="49"/>
      <c r="E1305" s="34"/>
      <c r="F1305" s="34"/>
    </row>
    <row r="1306" spans="2:6" ht="15.75">
      <c r="B1306" s="21"/>
      <c r="C1306" s="33"/>
      <c r="D1306" s="49"/>
      <c r="E1306" s="34"/>
      <c r="F1306" s="34"/>
    </row>
    <row r="1307" spans="2:6" ht="15.75">
      <c r="B1307" s="21"/>
      <c r="C1307" s="33"/>
      <c r="D1307" s="49"/>
      <c r="E1307" s="34"/>
      <c r="F1307" s="34"/>
    </row>
    <row r="1308" spans="2:6" ht="15.75">
      <c r="B1308" s="21"/>
      <c r="C1308" s="33"/>
      <c r="D1308" s="49"/>
      <c r="E1308" s="34"/>
      <c r="F1308" s="34"/>
    </row>
    <row r="1309" spans="2:6" ht="15.75">
      <c r="B1309" s="21"/>
      <c r="C1309" s="33"/>
      <c r="D1309" s="49"/>
      <c r="E1309" s="34"/>
      <c r="F1309" s="34"/>
    </row>
    <row r="1310" spans="2:6" ht="15.75">
      <c r="B1310" s="21"/>
      <c r="C1310" s="33"/>
      <c r="D1310" s="49"/>
      <c r="E1310" s="34"/>
      <c r="F1310" s="34"/>
    </row>
    <row r="1311" spans="2:6" ht="15.75">
      <c r="B1311" s="21"/>
      <c r="C1311" s="33"/>
      <c r="D1311" s="49"/>
      <c r="E1311" s="34"/>
      <c r="F1311" s="34"/>
    </row>
    <row r="1312" spans="2:6" ht="15.75">
      <c r="B1312" s="21"/>
      <c r="C1312" s="33"/>
      <c r="D1312" s="49"/>
      <c r="E1312" s="34"/>
      <c r="F1312" s="34"/>
    </row>
    <row r="1313" spans="2:6" ht="15.75">
      <c r="B1313" s="21"/>
      <c r="C1313" s="33"/>
      <c r="D1313" s="49"/>
      <c r="E1313" s="34"/>
      <c r="F1313" s="34"/>
    </row>
    <row r="1314" spans="2:6" ht="15.75">
      <c r="B1314" s="21"/>
      <c r="C1314" s="33"/>
      <c r="D1314" s="49"/>
      <c r="E1314" s="34"/>
      <c r="F1314" s="34"/>
    </row>
    <row r="1315" spans="2:6" ht="15.75">
      <c r="B1315" s="21"/>
      <c r="C1315" s="33"/>
      <c r="D1315" s="49"/>
      <c r="E1315" s="34"/>
      <c r="F1315" s="34"/>
    </row>
    <row r="1316" spans="2:6" ht="15.75">
      <c r="B1316" s="21"/>
      <c r="C1316" s="33"/>
      <c r="D1316" s="49"/>
      <c r="E1316" s="34"/>
      <c r="F1316" s="34"/>
    </row>
    <row r="1317" spans="2:6" ht="15.75">
      <c r="B1317" s="21"/>
      <c r="C1317" s="33"/>
      <c r="D1317" s="49"/>
      <c r="E1317" s="34"/>
      <c r="F1317" s="34"/>
    </row>
    <row r="1318" spans="2:6" ht="15.75">
      <c r="B1318" s="21"/>
      <c r="C1318" s="33"/>
      <c r="D1318" s="49"/>
      <c r="E1318" s="34"/>
      <c r="F1318" s="34"/>
    </row>
    <row r="1319" spans="2:6" ht="15.75">
      <c r="B1319" s="21"/>
      <c r="C1319" s="33"/>
      <c r="D1319" s="49"/>
      <c r="E1319" s="34"/>
      <c r="F1319" s="34"/>
    </row>
    <row r="1320" spans="2:6" ht="15.75">
      <c r="B1320" s="21"/>
      <c r="C1320" s="33"/>
      <c r="D1320" s="49"/>
      <c r="E1320" s="34"/>
      <c r="F1320" s="34"/>
    </row>
    <row r="1321" spans="2:6" ht="15.75">
      <c r="B1321" s="21"/>
      <c r="C1321" s="33"/>
      <c r="D1321" s="49"/>
      <c r="E1321" s="34"/>
      <c r="F1321" s="34"/>
    </row>
    <row r="1322" spans="2:6" ht="15.75">
      <c r="B1322" s="21"/>
      <c r="C1322" s="33"/>
      <c r="D1322" s="49"/>
      <c r="E1322" s="34"/>
      <c r="F1322" s="34"/>
    </row>
    <row r="1323" spans="2:6" ht="15.75">
      <c r="B1323" s="21"/>
      <c r="C1323" s="33"/>
      <c r="D1323" s="49"/>
      <c r="E1323" s="34"/>
      <c r="F1323" s="34"/>
    </row>
    <row r="1324" spans="2:6" ht="15.75">
      <c r="B1324" s="21"/>
      <c r="C1324" s="33"/>
      <c r="D1324" s="49"/>
      <c r="E1324" s="34"/>
      <c r="F1324" s="34"/>
    </row>
    <row r="1325" spans="2:6" ht="15.75">
      <c r="B1325" s="21"/>
      <c r="C1325" s="33"/>
      <c r="D1325" s="49"/>
      <c r="E1325" s="34"/>
      <c r="F1325" s="34"/>
    </row>
    <row r="1326" spans="2:6" ht="15.75">
      <c r="B1326" s="21"/>
      <c r="C1326" s="33"/>
      <c r="D1326" s="49"/>
      <c r="E1326" s="34"/>
      <c r="F1326" s="34"/>
    </row>
    <row r="1327" spans="2:6" ht="15.75">
      <c r="B1327" s="21"/>
      <c r="C1327" s="33"/>
      <c r="D1327" s="49"/>
      <c r="E1327" s="34"/>
      <c r="F1327" s="34"/>
    </row>
    <row r="1328" spans="2:6" ht="15.75">
      <c r="B1328" s="21"/>
      <c r="C1328" s="33"/>
      <c r="D1328" s="49"/>
      <c r="E1328" s="34"/>
      <c r="F1328" s="34"/>
    </row>
    <row r="1329" spans="2:6" ht="15.75">
      <c r="B1329" s="21"/>
      <c r="C1329" s="33"/>
      <c r="D1329" s="49"/>
      <c r="E1329" s="34"/>
      <c r="F1329" s="34"/>
    </row>
    <row r="1330" spans="2:6" ht="15.75">
      <c r="B1330" s="21"/>
      <c r="C1330" s="33"/>
      <c r="D1330" s="49"/>
      <c r="E1330" s="34"/>
      <c r="F1330" s="34"/>
    </row>
    <row r="1331" spans="2:6" ht="15.75">
      <c r="B1331" s="21"/>
      <c r="C1331" s="33"/>
      <c r="D1331" s="49"/>
      <c r="E1331" s="34"/>
      <c r="F1331" s="34"/>
    </row>
    <row r="1332" spans="2:6" ht="15.75">
      <c r="B1332" s="21"/>
      <c r="C1332" s="33"/>
      <c r="D1332" s="49"/>
      <c r="E1332" s="34"/>
      <c r="F1332" s="34"/>
    </row>
    <row r="1333" spans="2:6" ht="15.75">
      <c r="B1333" s="21"/>
      <c r="C1333" s="33"/>
      <c r="D1333" s="49"/>
      <c r="E1333" s="34"/>
      <c r="F1333" s="34"/>
    </row>
    <row r="1334" spans="2:6" ht="15.75">
      <c r="B1334" s="21"/>
      <c r="C1334" s="33"/>
      <c r="D1334" s="49"/>
      <c r="E1334" s="34"/>
      <c r="F1334" s="34"/>
    </row>
    <row r="1335" spans="2:6" ht="15.75">
      <c r="B1335" s="21"/>
      <c r="C1335" s="33"/>
      <c r="D1335" s="49"/>
      <c r="E1335" s="34"/>
      <c r="F1335" s="34"/>
    </row>
    <row r="1336" spans="2:6" ht="15.75">
      <c r="B1336" s="21"/>
      <c r="C1336" s="33"/>
      <c r="D1336" s="49"/>
      <c r="E1336" s="34"/>
      <c r="F1336" s="34"/>
    </row>
    <row r="1337" spans="2:6" ht="15.75">
      <c r="B1337" s="21"/>
      <c r="C1337" s="33"/>
      <c r="D1337" s="49"/>
      <c r="E1337" s="34"/>
      <c r="F1337" s="34"/>
    </row>
    <row r="1338" spans="2:6" ht="15.75">
      <c r="B1338" s="21"/>
      <c r="C1338" s="33"/>
      <c r="D1338" s="49"/>
      <c r="E1338" s="34"/>
      <c r="F1338" s="34"/>
    </row>
    <row r="1339" spans="2:6" ht="15.75">
      <c r="B1339" s="21"/>
      <c r="C1339" s="33"/>
      <c r="D1339" s="49"/>
      <c r="E1339" s="34"/>
      <c r="F1339" s="34"/>
    </row>
    <row r="1340" spans="2:6" ht="15.75">
      <c r="B1340" s="21"/>
      <c r="C1340" s="33"/>
      <c r="D1340" s="49"/>
      <c r="E1340" s="34"/>
      <c r="F1340" s="34"/>
    </row>
    <row r="1341" spans="2:6" ht="15.75">
      <c r="B1341" s="21"/>
      <c r="C1341" s="33"/>
      <c r="D1341" s="49"/>
      <c r="E1341" s="34"/>
      <c r="F1341" s="34"/>
    </row>
    <row r="1342" spans="2:6" ht="15.75">
      <c r="B1342" s="21"/>
      <c r="C1342" s="33"/>
      <c r="D1342" s="49"/>
      <c r="E1342" s="34"/>
      <c r="F1342" s="34"/>
    </row>
    <row r="1343" spans="2:6" ht="15.75">
      <c r="B1343" s="21"/>
      <c r="C1343" s="33"/>
      <c r="D1343" s="49"/>
      <c r="E1343" s="34"/>
      <c r="F1343" s="34"/>
    </row>
    <row r="1344" spans="2:6" ht="15.75">
      <c r="B1344" s="21"/>
      <c r="C1344" s="33"/>
      <c r="D1344" s="49"/>
      <c r="E1344" s="34"/>
      <c r="F1344" s="34"/>
    </row>
    <row r="1345" spans="2:6" ht="15.75">
      <c r="B1345" s="21"/>
      <c r="C1345" s="33"/>
      <c r="D1345" s="49"/>
      <c r="E1345" s="34"/>
      <c r="F1345" s="34"/>
    </row>
    <row r="1346" spans="2:6" ht="15.75">
      <c r="B1346" s="21"/>
      <c r="C1346" s="33"/>
      <c r="D1346" s="49"/>
      <c r="E1346" s="34"/>
      <c r="F1346" s="34"/>
    </row>
    <row r="1347" spans="2:6" ht="15.75">
      <c r="B1347" s="21"/>
      <c r="C1347" s="33"/>
      <c r="D1347" s="49"/>
      <c r="E1347" s="34"/>
      <c r="F1347" s="34"/>
    </row>
    <row r="1348" spans="2:6" ht="15.75">
      <c r="B1348" s="21"/>
      <c r="C1348" s="33"/>
      <c r="D1348" s="49"/>
      <c r="E1348" s="34"/>
      <c r="F1348" s="34"/>
    </row>
    <row r="1349" spans="2:6" ht="15.75">
      <c r="B1349" s="21"/>
      <c r="C1349" s="33"/>
      <c r="D1349" s="49"/>
      <c r="E1349" s="34"/>
      <c r="F1349" s="34"/>
    </row>
    <row r="1350" spans="2:6" ht="15.75">
      <c r="B1350" s="21"/>
      <c r="C1350" s="33"/>
      <c r="D1350" s="49"/>
      <c r="E1350" s="34"/>
      <c r="F1350" s="34"/>
    </row>
    <row r="1351" spans="2:6" ht="15.75">
      <c r="B1351" s="21"/>
      <c r="C1351" s="33"/>
      <c r="D1351" s="49"/>
      <c r="E1351" s="34"/>
      <c r="F1351" s="34"/>
    </row>
    <row r="1352" spans="2:6" ht="15.75">
      <c r="B1352" s="21"/>
      <c r="C1352" s="33"/>
      <c r="D1352" s="49"/>
      <c r="E1352" s="34"/>
      <c r="F1352" s="34"/>
    </row>
    <row r="1353" spans="2:6" ht="15.75">
      <c r="B1353" s="21"/>
      <c r="C1353" s="33"/>
      <c r="D1353" s="49"/>
      <c r="E1353" s="34"/>
      <c r="F1353" s="34"/>
    </row>
    <row r="1354" spans="2:6" ht="15.75">
      <c r="B1354" s="21"/>
      <c r="C1354" s="33"/>
      <c r="D1354" s="49"/>
      <c r="E1354" s="34"/>
      <c r="F1354" s="34"/>
    </row>
    <row r="1355" spans="2:6" ht="15.75">
      <c r="B1355" s="21"/>
      <c r="C1355" s="33"/>
      <c r="D1355" s="49"/>
      <c r="E1355" s="34"/>
      <c r="F1355" s="34"/>
    </row>
    <row r="1356" spans="2:6" ht="15.75">
      <c r="B1356" s="21"/>
      <c r="C1356" s="33"/>
      <c r="D1356" s="49"/>
      <c r="E1356" s="34"/>
      <c r="F1356" s="34"/>
    </row>
    <row r="1357" spans="2:6" ht="15.75">
      <c r="B1357" s="21"/>
      <c r="C1357" s="33"/>
      <c r="D1357" s="49"/>
      <c r="E1357" s="34"/>
      <c r="F1357" s="34"/>
    </row>
    <row r="1358" spans="2:6" ht="15.75">
      <c r="B1358" s="21"/>
      <c r="C1358" s="33"/>
      <c r="D1358" s="49"/>
      <c r="E1358" s="34"/>
      <c r="F1358" s="34"/>
    </row>
    <row r="1359" spans="2:6" ht="15.75">
      <c r="B1359" s="21"/>
      <c r="C1359" s="33"/>
      <c r="D1359" s="49"/>
      <c r="E1359" s="34"/>
      <c r="F1359" s="34"/>
    </row>
    <row r="1360" spans="2:6" ht="15.75">
      <c r="B1360" s="21"/>
      <c r="C1360" s="33"/>
      <c r="D1360" s="49"/>
      <c r="E1360" s="34"/>
      <c r="F1360" s="34"/>
    </row>
    <row r="1361" spans="2:6" ht="15.75">
      <c r="B1361" s="21"/>
      <c r="C1361" s="33"/>
      <c r="D1361" s="49"/>
      <c r="E1361" s="34"/>
      <c r="F1361" s="34"/>
    </row>
    <row r="1362" spans="2:6" ht="15.75">
      <c r="B1362" s="21"/>
      <c r="C1362" s="33"/>
      <c r="D1362" s="49"/>
      <c r="E1362" s="34"/>
      <c r="F1362" s="34"/>
    </row>
    <row r="1363" spans="2:6" ht="15.75">
      <c r="B1363" s="21"/>
      <c r="C1363" s="33"/>
      <c r="D1363" s="49"/>
      <c r="E1363" s="34"/>
      <c r="F1363" s="34"/>
    </row>
    <row r="1364" spans="2:6" ht="15.75">
      <c r="B1364" s="21"/>
      <c r="C1364" s="33"/>
      <c r="D1364" s="49"/>
      <c r="E1364" s="34"/>
      <c r="F1364" s="34"/>
    </row>
    <row r="1365" spans="2:6" ht="15.75">
      <c r="B1365" s="21"/>
      <c r="C1365" s="33"/>
      <c r="D1365" s="49"/>
      <c r="E1365" s="34"/>
      <c r="F1365" s="34"/>
    </row>
    <row r="1366" spans="2:6" ht="15.75">
      <c r="B1366" s="21"/>
      <c r="C1366" s="33"/>
      <c r="D1366" s="49"/>
      <c r="E1366" s="34"/>
      <c r="F1366" s="34"/>
    </row>
    <row r="1367" spans="2:6" ht="15.75">
      <c r="B1367" s="21"/>
      <c r="C1367" s="33"/>
      <c r="D1367" s="49"/>
      <c r="E1367" s="34"/>
      <c r="F1367" s="34"/>
    </row>
    <row r="1368" spans="2:6" ht="15.75">
      <c r="B1368" s="21"/>
      <c r="C1368" s="33"/>
      <c r="D1368" s="49"/>
      <c r="E1368" s="34"/>
      <c r="F1368" s="34"/>
    </row>
    <row r="1369" spans="2:6" ht="15.75">
      <c r="B1369" s="21"/>
      <c r="C1369" s="33"/>
      <c r="D1369" s="49"/>
      <c r="E1369" s="34"/>
      <c r="F1369" s="34"/>
    </row>
    <row r="1370" spans="2:6" ht="15.75">
      <c r="B1370" s="21"/>
      <c r="C1370" s="33"/>
      <c r="D1370" s="49"/>
      <c r="E1370" s="34"/>
      <c r="F1370" s="34"/>
    </row>
    <row r="1371" spans="2:6" ht="15.75">
      <c r="B1371" s="21"/>
      <c r="C1371" s="33"/>
      <c r="D1371" s="49"/>
      <c r="E1371" s="34"/>
      <c r="F1371" s="34"/>
    </row>
    <row r="1372" spans="2:6" ht="15.75">
      <c r="B1372" s="21"/>
      <c r="C1372" s="33"/>
      <c r="D1372" s="49"/>
      <c r="E1372" s="34"/>
      <c r="F1372" s="34"/>
    </row>
    <row r="1373" spans="2:6" ht="15.75">
      <c r="B1373" s="21"/>
      <c r="C1373" s="33"/>
      <c r="D1373" s="49"/>
      <c r="E1373" s="34"/>
      <c r="F1373" s="34"/>
    </row>
    <row r="1374" spans="2:6" ht="15.75">
      <c r="B1374" s="21"/>
      <c r="C1374" s="33"/>
      <c r="D1374" s="49"/>
      <c r="E1374" s="34"/>
      <c r="F1374" s="34"/>
    </row>
    <row r="1375" spans="2:6" ht="15.75">
      <c r="B1375" s="21"/>
      <c r="C1375" s="33"/>
      <c r="D1375" s="49"/>
      <c r="E1375" s="34"/>
      <c r="F1375" s="34"/>
    </row>
    <row r="1376" spans="2:6" ht="15.75">
      <c r="B1376" s="21"/>
      <c r="C1376" s="33"/>
      <c r="D1376" s="49"/>
      <c r="E1376" s="34"/>
      <c r="F1376" s="34"/>
    </row>
    <row r="1377" spans="2:6" ht="15.75">
      <c r="B1377" s="21"/>
      <c r="C1377" s="33"/>
      <c r="D1377" s="49"/>
      <c r="E1377" s="34"/>
      <c r="F1377" s="34"/>
    </row>
    <row r="1378" spans="2:6" ht="15.75">
      <c r="B1378" s="21"/>
      <c r="C1378" s="33"/>
      <c r="D1378" s="49"/>
      <c r="E1378" s="34"/>
      <c r="F1378" s="34"/>
    </row>
    <row r="1379" spans="2:6" ht="15.75">
      <c r="B1379" s="21"/>
      <c r="C1379" s="33"/>
      <c r="D1379" s="49"/>
      <c r="E1379" s="34"/>
      <c r="F1379" s="34"/>
    </row>
    <row r="1380" spans="2:6" ht="15.75">
      <c r="B1380" s="21"/>
      <c r="C1380" s="33"/>
      <c r="D1380" s="49"/>
      <c r="E1380" s="34"/>
      <c r="F1380" s="34"/>
    </row>
    <row r="1381" spans="2:6" ht="15.75">
      <c r="B1381" s="21"/>
      <c r="C1381" s="33"/>
      <c r="D1381" s="49"/>
      <c r="E1381" s="34"/>
      <c r="F1381" s="34"/>
    </row>
    <row r="1382" spans="2:6" ht="15.75">
      <c r="B1382" s="21"/>
      <c r="C1382" s="33"/>
      <c r="D1382" s="49"/>
      <c r="E1382" s="34"/>
      <c r="F1382" s="34"/>
    </row>
    <row r="1383" spans="2:6" ht="15.75">
      <c r="B1383" s="21"/>
      <c r="C1383" s="33"/>
      <c r="D1383" s="49"/>
      <c r="E1383" s="34"/>
      <c r="F1383" s="34"/>
    </row>
    <row r="1384" spans="2:6" ht="15.75">
      <c r="B1384" s="21"/>
      <c r="C1384" s="33"/>
      <c r="D1384" s="49"/>
      <c r="E1384" s="34"/>
      <c r="F1384" s="34"/>
    </row>
    <row r="1385" spans="2:6" ht="15.75">
      <c r="B1385" s="21"/>
      <c r="C1385" s="33"/>
      <c r="D1385" s="49"/>
      <c r="E1385" s="34"/>
      <c r="F1385" s="34"/>
    </row>
    <row r="1386" spans="2:6" ht="15.75">
      <c r="B1386" s="21"/>
      <c r="C1386" s="33"/>
      <c r="D1386" s="49"/>
      <c r="E1386" s="34"/>
      <c r="F1386" s="34"/>
    </row>
    <row r="1387" spans="2:6" ht="15.75">
      <c r="B1387" s="21"/>
      <c r="C1387" s="33"/>
      <c r="D1387" s="49"/>
      <c r="E1387" s="34"/>
      <c r="F1387" s="34"/>
    </row>
    <row r="1388" spans="2:6" ht="15.75">
      <c r="B1388" s="21"/>
      <c r="C1388" s="33"/>
      <c r="D1388" s="49"/>
      <c r="E1388" s="34"/>
      <c r="F1388" s="34"/>
    </row>
    <row r="1389" spans="2:6" ht="15.75">
      <c r="B1389" s="21"/>
      <c r="C1389" s="33"/>
      <c r="D1389" s="49"/>
      <c r="E1389" s="34"/>
      <c r="F1389" s="34"/>
    </row>
    <row r="1390" spans="2:6" ht="15.75">
      <c r="B1390" s="21"/>
      <c r="C1390" s="33"/>
      <c r="D1390" s="49"/>
      <c r="E1390" s="34"/>
      <c r="F1390" s="34"/>
    </row>
    <row r="1391" spans="2:6" ht="15.75">
      <c r="B1391" s="21"/>
      <c r="C1391" s="33"/>
      <c r="D1391" s="49"/>
      <c r="E1391" s="34"/>
      <c r="F1391" s="34"/>
    </row>
    <row r="1392" spans="2:6" ht="15.75">
      <c r="B1392" s="21"/>
      <c r="C1392" s="33"/>
      <c r="D1392" s="49"/>
      <c r="E1392" s="34"/>
      <c r="F1392" s="34"/>
    </row>
    <row r="1393" spans="2:6" ht="15.75">
      <c r="B1393" s="21"/>
      <c r="C1393" s="33"/>
      <c r="D1393" s="49"/>
      <c r="E1393" s="34"/>
      <c r="F1393" s="34"/>
    </row>
    <row r="1394" spans="2:6" ht="15.75">
      <c r="B1394" s="21"/>
      <c r="C1394" s="33"/>
      <c r="D1394" s="49"/>
      <c r="E1394" s="34"/>
      <c r="F1394" s="34"/>
    </row>
    <row r="1395" spans="2:6" ht="15.75">
      <c r="B1395" s="21"/>
      <c r="C1395" s="33"/>
      <c r="D1395" s="49"/>
      <c r="E1395" s="34"/>
      <c r="F1395" s="34"/>
    </row>
    <row r="1396" spans="2:6" ht="15.75">
      <c r="B1396" s="21"/>
      <c r="C1396" s="33"/>
      <c r="D1396" s="49"/>
      <c r="E1396" s="34"/>
      <c r="F1396" s="34"/>
    </row>
    <row r="1397" spans="2:6" ht="15.75">
      <c r="B1397" s="21"/>
      <c r="C1397" s="33"/>
      <c r="D1397" s="49"/>
      <c r="E1397" s="34"/>
      <c r="F1397" s="34"/>
    </row>
    <row r="1398" spans="2:6" ht="15.75">
      <c r="B1398" s="21"/>
      <c r="C1398" s="33"/>
      <c r="D1398" s="49"/>
      <c r="E1398" s="34"/>
      <c r="F1398" s="34"/>
    </row>
    <row r="1399" spans="2:6" ht="15.75">
      <c r="B1399" s="21"/>
      <c r="C1399" s="33"/>
      <c r="D1399" s="49"/>
      <c r="E1399" s="34"/>
      <c r="F1399" s="34"/>
    </row>
    <row r="1400" spans="2:6" ht="15.75">
      <c r="B1400" s="21"/>
      <c r="C1400" s="33"/>
      <c r="D1400" s="49"/>
      <c r="E1400" s="34"/>
      <c r="F1400" s="34"/>
    </row>
    <row r="1401" spans="2:6" ht="15.75">
      <c r="B1401" s="21"/>
      <c r="C1401" s="33"/>
      <c r="D1401" s="49"/>
      <c r="E1401" s="34"/>
      <c r="F1401" s="34"/>
    </row>
    <row r="1402" spans="2:6" ht="15.75">
      <c r="B1402" s="21"/>
      <c r="C1402" s="33"/>
      <c r="D1402" s="49"/>
      <c r="E1402" s="34"/>
      <c r="F1402" s="34"/>
    </row>
    <row r="1403" spans="2:6" ht="15.75">
      <c r="B1403" s="21"/>
      <c r="C1403" s="33"/>
      <c r="D1403" s="49"/>
      <c r="E1403" s="34"/>
      <c r="F1403" s="34"/>
    </row>
    <row r="1404" spans="2:6" ht="15.75">
      <c r="B1404" s="21"/>
      <c r="C1404" s="33"/>
      <c r="D1404" s="49"/>
      <c r="E1404" s="34"/>
      <c r="F1404" s="34"/>
    </row>
    <row r="1405" spans="2:6" ht="15.75">
      <c r="B1405" s="21"/>
      <c r="C1405" s="33"/>
      <c r="D1405" s="49"/>
      <c r="E1405" s="34"/>
      <c r="F1405" s="34"/>
    </row>
    <row r="1406" spans="2:6" ht="15.75">
      <c r="B1406" s="21"/>
      <c r="C1406" s="33"/>
      <c r="D1406" s="49"/>
      <c r="E1406" s="34"/>
      <c r="F1406" s="34"/>
    </row>
    <row r="1407" spans="2:6" ht="15.75">
      <c r="B1407" s="21"/>
      <c r="C1407" s="33"/>
      <c r="D1407" s="49"/>
      <c r="E1407" s="34"/>
      <c r="F1407" s="34"/>
    </row>
    <row r="1408" spans="2:6" ht="15.75">
      <c r="B1408" s="21"/>
      <c r="C1408" s="33"/>
      <c r="D1408" s="49"/>
      <c r="E1408" s="34"/>
      <c r="F1408" s="34"/>
    </row>
    <row r="1409" spans="2:6" ht="15.75">
      <c r="B1409" s="21"/>
      <c r="C1409" s="33"/>
      <c r="D1409" s="49"/>
      <c r="E1409" s="34"/>
      <c r="F1409" s="34"/>
    </row>
    <row r="1410" spans="2:6" ht="15.75">
      <c r="B1410" s="21"/>
      <c r="C1410" s="33"/>
      <c r="D1410" s="49"/>
      <c r="E1410" s="34"/>
      <c r="F1410" s="34"/>
    </row>
    <row r="1411" spans="2:6" ht="15.75">
      <c r="B1411" s="21"/>
      <c r="C1411" s="33"/>
      <c r="D1411" s="49"/>
      <c r="E1411" s="34"/>
      <c r="F1411" s="34"/>
    </row>
    <row r="1412" spans="2:6" ht="15.75">
      <c r="B1412" s="21"/>
      <c r="C1412" s="33"/>
      <c r="D1412" s="49"/>
      <c r="E1412" s="34"/>
      <c r="F1412" s="34"/>
    </row>
    <row r="1413" spans="2:6" ht="15.75">
      <c r="B1413" s="21"/>
      <c r="C1413" s="33"/>
      <c r="D1413" s="49"/>
      <c r="E1413" s="34"/>
      <c r="F1413" s="34"/>
    </row>
    <row r="1414" spans="2:6" ht="15.75">
      <c r="B1414" s="21"/>
      <c r="C1414" s="33"/>
      <c r="D1414" s="49"/>
      <c r="E1414" s="34"/>
      <c r="F1414" s="34"/>
    </row>
    <row r="1415" spans="2:6" ht="15.75">
      <c r="B1415" s="21"/>
      <c r="C1415" s="33"/>
      <c r="D1415" s="49"/>
      <c r="E1415" s="34"/>
      <c r="F1415" s="34"/>
    </row>
    <row r="1416" spans="2:6" ht="15.75">
      <c r="B1416" s="21"/>
      <c r="C1416" s="33"/>
      <c r="D1416" s="49"/>
      <c r="E1416" s="34"/>
      <c r="F1416" s="34"/>
    </row>
    <row r="1417" spans="2:6" ht="15.75">
      <c r="B1417" s="21"/>
      <c r="C1417" s="33"/>
      <c r="D1417" s="49"/>
      <c r="E1417" s="34"/>
      <c r="F1417" s="34"/>
    </row>
    <row r="1418" spans="2:6" ht="15.75">
      <c r="B1418" s="21"/>
      <c r="C1418" s="33"/>
      <c r="D1418" s="49"/>
      <c r="E1418" s="34"/>
      <c r="F1418" s="34"/>
    </row>
    <row r="1419" spans="2:6" ht="15.75">
      <c r="B1419" s="21"/>
      <c r="C1419" s="33"/>
      <c r="D1419" s="49"/>
      <c r="E1419" s="34"/>
      <c r="F1419" s="34"/>
    </row>
    <row r="1420" spans="2:6" ht="15.75">
      <c r="B1420" s="21"/>
      <c r="C1420" s="33"/>
      <c r="D1420" s="49"/>
      <c r="E1420" s="34"/>
      <c r="F1420" s="34"/>
    </row>
    <row r="1421" spans="2:6" ht="15.75">
      <c r="B1421" s="21"/>
      <c r="C1421" s="33"/>
      <c r="D1421" s="49"/>
      <c r="E1421" s="34"/>
      <c r="F1421" s="34"/>
    </row>
    <row r="1422" spans="2:6" ht="15.75">
      <c r="B1422" s="21"/>
      <c r="C1422" s="33"/>
      <c r="D1422" s="49"/>
      <c r="E1422" s="34"/>
      <c r="F1422" s="34"/>
    </row>
    <row r="1423" spans="2:6" ht="15.75">
      <c r="B1423" s="21"/>
      <c r="C1423" s="33"/>
      <c r="D1423" s="49"/>
      <c r="E1423" s="34"/>
      <c r="F1423" s="34"/>
    </row>
    <row r="1424" spans="2:6" ht="15.75">
      <c r="B1424" s="21"/>
      <c r="C1424" s="33"/>
      <c r="D1424" s="49"/>
      <c r="E1424" s="34"/>
      <c r="F1424" s="34"/>
    </row>
    <row r="1425" spans="2:6" ht="15.75">
      <c r="B1425" s="21"/>
      <c r="C1425" s="33"/>
      <c r="D1425" s="49"/>
      <c r="E1425" s="34"/>
      <c r="F1425" s="34"/>
    </row>
    <row r="1426" spans="2:6" ht="15.75">
      <c r="B1426" s="21"/>
      <c r="C1426" s="33"/>
      <c r="D1426" s="49"/>
      <c r="E1426" s="34"/>
      <c r="F1426" s="34"/>
    </row>
    <row r="1427" spans="2:6" ht="15.75">
      <c r="B1427" s="21"/>
      <c r="C1427" s="33"/>
      <c r="D1427" s="49"/>
      <c r="E1427" s="34"/>
      <c r="F1427" s="34"/>
    </row>
    <row r="1428" spans="2:6" ht="15.75">
      <c r="B1428" s="21"/>
      <c r="C1428" s="33"/>
      <c r="D1428" s="49"/>
      <c r="E1428" s="34"/>
      <c r="F1428" s="34"/>
    </row>
    <row r="1429" spans="2:6" ht="15.75">
      <c r="B1429" s="21"/>
      <c r="C1429" s="33"/>
      <c r="D1429" s="49"/>
      <c r="E1429" s="34"/>
      <c r="F1429" s="34"/>
    </row>
    <row r="1430" spans="2:6" ht="15.75">
      <c r="B1430" s="21"/>
      <c r="C1430" s="33"/>
      <c r="D1430" s="49"/>
      <c r="E1430" s="34"/>
      <c r="F1430" s="34"/>
    </row>
    <row r="1431" spans="2:6" ht="15.75">
      <c r="B1431" s="21"/>
      <c r="C1431" s="33"/>
      <c r="D1431" s="49"/>
      <c r="E1431" s="34"/>
      <c r="F1431" s="34"/>
    </row>
    <row r="1432" spans="2:6" ht="15.75">
      <c r="B1432" s="21"/>
      <c r="C1432" s="33"/>
      <c r="D1432" s="49"/>
      <c r="E1432" s="34"/>
      <c r="F1432" s="34"/>
    </row>
    <row r="1433" spans="2:6" ht="15.75">
      <c r="B1433" s="21"/>
      <c r="C1433" s="33"/>
      <c r="D1433" s="49"/>
      <c r="E1433" s="34"/>
      <c r="F1433" s="34"/>
    </row>
    <row r="1434" spans="2:6" ht="15.75">
      <c r="B1434" s="21"/>
      <c r="C1434" s="33"/>
      <c r="D1434" s="49"/>
      <c r="E1434" s="34"/>
      <c r="F1434" s="34"/>
    </row>
    <row r="1435" spans="2:6" ht="15.75">
      <c r="B1435" s="21"/>
      <c r="C1435" s="33"/>
      <c r="D1435" s="49"/>
      <c r="E1435" s="34"/>
      <c r="F1435" s="34"/>
    </row>
    <row r="1436" spans="2:6" ht="15.75">
      <c r="B1436" s="21"/>
      <c r="C1436" s="33"/>
      <c r="D1436" s="49"/>
      <c r="E1436" s="34"/>
      <c r="F1436" s="34"/>
    </row>
    <row r="1437" spans="2:6" ht="15.75">
      <c r="B1437" s="21"/>
      <c r="C1437" s="33"/>
      <c r="D1437" s="49"/>
      <c r="E1437" s="34"/>
      <c r="F1437" s="34"/>
    </row>
    <row r="1438" spans="2:6" ht="15.75">
      <c r="B1438" s="21"/>
      <c r="C1438" s="33"/>
      <c r="D1438" s="49"/>
      <c r="E1438" s="34"/>
      <c r="F1438" s="34"/>
    </row>
    <row r="1439" spans="2:6" ht="15.75">
      <c r="B1439" s="21"/>
      <c r="C1439" s="33"/>
      <c r="D1439" s="49"/>
      <c r="E1439" s="34"/>
      <c r="F1439" s="34"/>
    </row>
    <row r="1440" spans="2:6" ht="15.75">
      <c r="B1440" s="21"/>
      <c r="C1440" s="33"/>
      <c r="D1440" s="49"/>
      <c r="E1440" s="34"/>
      <c r="F1440" s="34"/>
    </row>
    <row r="1441" spans="2:6" ht="15.75">
      <c r="B1441" s="21"/>
      <c r="C1441" s="33"/>
      <c r="D1441" s="49"/>
      <c r="E1441" s="34"/>
      <c r="F1441" s="34"/>
    </row>
    <row r="1442" spans="2:6" ht="15.75">
      <c r="B1442" s="21"/>
      <c r="C1442" s="33"/>
      <c r="D1442" s="49"/>
      <c r="E1442" s="34"/>
      <c r="F1442" s="34"/>
    </row>
    <row r="1443" spans="2:6" ht="15.75">
      <c r="B1443" s="21"/>
      <c r="C1443" s="33"/>
      <c r="D1443" s="49"/>
      <c r="E1443" s="34"/>
      <c r="F1443" s="34"/>
    </row>
    <row r="1444" spans="2:6" ht="15.75">
      <c r="B1444" s="21"/>
      <c r="C1444" s="33"/>
      <c r="D1444" s="49"/>
      <c r="E1444" s="34"/>
      <c r="F1444" s="34"/>
    </row>
    <row r="1445" spans="2:6" ht="15.75">
      <c r="B1445" s="21"/>
      <c r="C1445" s="33"/>
      <c r="D1445" s="49"/>
      <c r="E1445" s="34"/>
      <c r="F1445" s="34"/>
    </row>
    <row r="1446" spans="2:6" ht="15.75">
      <c r="B1446" s="21"/>
      <c r="C1446" s="33"/>
      <c r="D1446" s="49"/>
      <c r="E1446" s="34"/>
      <c r="F1446" s="34"/>
    </row>
    <row r="1447" spans="2:6" ht="15.75">
      <c r="B1447" s="21"/>
      <c r="C1447" s="33"/>
      <c r="D1447" s="49"/>
      <c r="E1447" s="34"/>
      <c r="F1447" s="34"/>
    </row>
    <row r="1448" spans="2:6" ht="15.75">
      <c r="B1448" s="21"/>
      <c r="C1448" s="33"/>
      <c r="D1448" s="49"/>
      <c r="E1448" s="34"/>
      <c r="F1448" s="34"/>
    </row>
    <row r="1449" spans="2:6" ht="15.75">
      <c r="B1449" s="21"/>
      <c r="C1449" s="33"/>
      <c r="D1449" s="49"/>
      <c r="E1449" s="34"/>
      <c r="F1449" s="34"/>
    </row>
    <row r="1450" spans="2:6" ht="15.75">
      <c r="B1450" s="21"/>
      <c r="C1450" s="33"/>
      <c r="D1450" s="49"/>
      <c r="E1450" s="34"/>
      <c r="F1450" s="34"/>
    </row>
    <row r="1451" spans="2:6" ht="15.75">
      <c r="B1451" s="21"/>
      <c r="C1451" s="33"/>
      <c r="D1451" s="49"/>
      <c r="E1451" s="34"/>
      <c r="F1451" s="34"/>
    </row>
    <row r="1452" spans="2:6" ht="15.75">
      <c r="B1452" s="21"/>
      <c r="C1452" s="33"/>
      <c r="D1452" s="49"/>
      <c r="E1452" s="34"/>
      <c r="F1452" s="34"/>
    </row>
    <row r="1453" spans="2:6" ht="15.75">
      <c r="B1453" s="21"/>
      <c r="C1453" s="33"/>
      <c r="D1453" s="49"/>
      <c r="E1453" s="34"/>
      <c r="F1453" s="34"/>
    </row>
    <row r="1454" spans="2:6" ht="15.75">
      <c r="B1454" s="21"/>
      <c r="C1454" s="33"/>
      <c r="D1454" s="49"/>
      <c r="E1454" s="34"/>
      <c r="F1454" s="34"/>
    </row>
    <row r="1455" spans="2:6" ht="15.75">
      <c r="B1455" s="21"/>
      <c r="C1455" s="33"/>
      <c r="D1455" s="49"/>
      <c r="E1455" s="34"/>
      <c r="F1455" s="34"/>
    </row>
    <row r="1456" spans="2:6" ht="15.75">
      <c r="B1456" s="21"/>
      <c r="C1456" s="33"/>
      <c r="D1456" s="49"/>
      <c r="E1456" s="34"/>
      <c r="F1456" s="34"/>
    </row>
    <row r="1457" spans="2:6" ht="15.75">
      <c r="B1457" s="21"/>
      <c r="C1457" s="33"/>
      <c r="D1457" s="49"/>
      <c r="E1457" s="34"/>
      <c r="F1457" s="34"/>
    </row>
    <row r="1458" spans="2:6" ht="15.75">
      <c r="B1458" s="21"/>
      <c r="C1458" s="33"/>
      <c r="D1458" s="49"/>
      <c r="E1458" s="34"/>
      <c r="F1458" s="34"/>
    </row>
    <row r="1459" spans="2:6" ht="15.75">
      <c r="B1459" s="21"/>
      <c r="C1459" s="33"/>
      <c r="D1459" s="49"/>
      <c r="E1459" s="34"/>
      <c r="F1459" s="34"/>
    </row>
    <row r="1460" spans="2:6" ht="15.75">
      <c r="B1460" s="21"/>
      <c r="C1460" s="33"/>
      <c r="D1460" s="49"/>
      <c r="E1460" s="34"/>
      <c r="F1460" s="34"/>
    </row>
    <row r="1461" spans="2:6" ht="15.75">
      <c r="B1461" s="21"/>
      <c r="C1461" s="33"/>
      <c r="D1461" s="49"/>
      <c r="E1461" s="34"/>
      <c r="F1461" s="34"/>
    </row>
    <row r="1462" spans="2:6" ht="15.75">
      <c r="B1462" s="21"/>
      <c r="C1462" s="33"/>
      <c r="D1462" s="49"/>
      <c r="E1462" s="34"/>
      <c r="F1462" s="34"/>
    </row>
    <row r="1463" spans="2:6" ht="15.75">
      <c r="B1463" s="21"/>
      <c r="C1463" s="33"/>
      <c r="D1463" s="49"/>
      <c r="E1463" s="34"/>
      <c r="F1463" s="34"/>
    </row>
    <row r="1464" spans="2:6" ht="15.75">
      <c r="B1464" s="21"/>
      <c r="C1464" s="33"/>
      <c r="D1464" s="49"/>
      <c r="E1464" s="34"/>
      <c r="F1464" s="34"/>
    </row>
    <row r="1465" spans="2:6" ht="15.75">
      <c r="B1465" s="21"/>
      <c r="C1465" s="33"/>
      <c r="D1465" s="49"/>
      <c r="E1465" s="34"/>
      <c r="F1465" s="34"/>
    </row>
    <row r="1466" spans="2:6" ht="15.75">
      <c r="B1466" s="21"/>
      <c r="C1466" s="33"/>
      <c r="D1466" s="49"/>
      <c r="E1466" s="34"/>
      <c r="F1466" s="34"/>
    </row>
    <row r="1467" spans="2:6" ht="15.75">
      <c r="B1467" s="21"/>
      <c r="C1467" s="33"/>
      <c r="D1467" s="49"/>
      <c r="E1467" s="34"/>
      <c r="F1467" s="34"/>
    </row>
    <row r="1468" spans="2:6" ht="15.75">
      <c r="B1468" s="21"/>
      <c r="C1468" s="33"/>
      <c r="D1468" s="49"/>
      <c r="E1468" s="34"/>
      <c r="F1468" s="34"/>
    </row>
    <row r="1469" spans="2:6" ht="15.75">
      <c r="B1469" s="21"/>
      <c r="C1469" s="33"/>
      <c r="D1469" s="49"/>
      <c r="E1469" s="34"/>
      <c r="F1469" s="34"/>
    </row>
    <row r="1470" spans="2:6" ht="15.75">
      <c r="B1470" s="21"/>
      <c r="C1470" s="33"/>
      <c r="D1470" s="49"/>
      <c r="E1470" s="34"/>
      <c r="F1470" s="34"/>
    </row>
    <row r="1471" spans="2:6" ht="15.75">
      <c r="B1471" s="21"/>
      <c r="C1471" s="33"/>
      <c r="D1471" s="49"/>
      <c r="E1471" s="34"/>
      <c r="F1471" s="34"/>
    </row>
    <row r="1472" spans="2:6" ht="15.75">
      <c r="B1472" s="21"/>
      <c r="C1472" s="33"/>
      <c r="D1472" s="49"/>
      <c r="E1472" s="34"/>
      <c r="F1472" s="34"/>
    </row>
    <row r="1473" spans="2:6" ht="15.75">
      <c r="B1473" s="21"/>
      <c r="C1473" s="33"/>
      <c r="D1473" s="49"/>
      <c r="E1473" s="34"/>
      <c r="F1473" s="34"/>
    </row>
    <row r="1474" spans="2:6" ht="15.75">
      <c r="B1474" s="21"/>
      <c r="C1474" s="33"/>
      <c r="D1474" s="49"/>
      <c r="E1474" s="34"/>
      <c r="F1474" s="34"/>
    </row>
    <row r="1475" spans="2:6" ht="15.75">
      <c r="B1475" s="21"/>
      <c r="C1475" s="33"/>
      <c r="D1475" s="49"/>
      <c r="E1475" s="34"/>
      <c r="F1475" s="34"/>
    </row>
    <row r="1476" spans="2:6" ht="15.75">
      <c r="B1476" s="21"/>
      <c r="C1476" s="33"/>
      <c r="D1476" s="49"/>
      <c r="E1476" s="34"/>
      <c r="F1476" s="34"/>
    </row>
    <row r="1477" spans="2:6" ht="15.75">
      <c r="B1477" s="21"/>
      <c r="C1477" s="33"/>
      <c r="D1477" s="49"/>
      <c r="E1477" s="34"/>
      <c r="F1477" s="34"/>
    </row>
    <row r="1478" spans="2:6" ht="15.75">
      <c r="B1478" s="21"/>
      <c r="C1478" s="33"/>
      <c r="D1478" s="49"/>
      <c r="E1478" s="34"/>
      <c r="F1478" s="34"/>
    </row>
    <row r="1479" spans="2:6" ht="15.75">
      <c r="B1479" s="21"/>
      <c r="C1479" s="33"/>
      <c r="D1479" s="49"/>
      <c r="E1479" s="34"/>
      <c r="F1479" s="34"/>
    </row>
    <row r="1480" spans="2:6" ht="15.75">
      <c r="B1480" s="21"/>
      <c r="C1480" s="33"/>
      <c r="D1480" s="49"/>
      <c r="E1480" s="34"/>
      <c r="F1480" s="34"/>
    </row>
    <row r="1481" spans="2:6" ht="15.75">
      <c r="B1481" s="21"/>
      <c r="C1481" s="33"/>
      <c r="D1481" s="49"/>
      <c r="E1481" s="34"/>
      <c r="F1481" s="34"/>
    </row>
    <row r="1482" spans="2:6" ht="15.75">
      <c r="B1482" s="21"/>
      <c r="C1482" s="33"/>
      <c r="D1482" s="49"/>
      <c r="E1482" s="34"/>
      <c r="F1482" s="34"/>
    </row>
    <row r="1483" spans="2:6" ht="15.75">
      <c r="B1483" s="21"/>
      <c r="C1483" s="33"/>
      <c r="D1483" s="49"/>
      <c r="E1483" s="34"/>
      <c r="F1483" s="34"/>
    </row>
    <row r="1484" spans="2:6" ht="15.75">
      <c r="B1484" s="21"/>
      <c r="C1484" s="33"/>
      <c r="D1484" s="49"/>
      <c r="E1484" s="34"/>
      <c r="F1484" s="34"/>
    </row>
    <row r="1485" spans="2:6" ht="15.75">
      <c r="B1485" s="21"/>
      <c r="C1485" s="33"/>
      <c r="D1485" s="49"/>
      <c r="E1485" s="34"/>
      <c r="F1485" s="34"/>
    </row>
    <row r="1486" spans="2:6" ht="15.75">
      <c r="B1486" s="21"/>
      <c r="C1486" s="33"/>
      <c r="D1486" s="49"/>
      <c r="E1486" s="34"/>
      <c r="F1486" s="34"/>
    </row>
    <row r="1487" spans="2:6" ht="15.75">
      <c r="B1487" s="21"/>
      <c r="C1487" s="33"/>
      <c r="D1487" s="49"/>
      <c r="E1487" s="34"/>
      <c r="F1487" s="34"/>
    </row>
    <row r="1488" spans="2:6" ht="15.75">
      <c r="B1488" s="21"/>
      <c r="C1488" s="33"/>
      <c r="D1488" s="49"/>
      <c r="E1488" s="34"/>
      <c r="F1488" s="34"/>
    </row>
    <row r="1489" spans="2:6" ht="15.75">
      <c r="B1489" s="21"/>
      <c r="C1489" s="33"/>
      <c r="D1489" s="49"/>
      <c r="E1489" s="34"/>
      <c r="F1489" s="34"/>
    </row>
    <row r="1490" spans="2:6" ht="15.75">
      <c r="B1490" s="21"/>
      <c r="C1490" s="33"/>
      <c r="D1490" s="49"/>
      <c r="E1490" s="34"/>
      <c r="F1490" s="34"/>
    </row>
    <row r="1491" spans="2:6" ht="15.75">
      <c r="B1491" s="21"/>
      <c r="C1491" s="33"/>
      <c r="D1491" s="49"/>
      <c r="E1491" s="34"/>
      <c r="F1491" s="34"/>
    </row>
    <row r="1492" spans="2:6" ht="15.75">
      <c r="B1492" s="21"/>
      <c r="C1492" s="33"/>
      <c r="D1492" s="49"/>
      <c r="E1492" s="34"/>
      <c r="F1492" s="34"/>
    </row>
    <row r="1493" spans="2:6" ht="15.75">
      <c r="B1493" s="21"/>
      <c r="C1493" s="33"/>
      <c r="D1493" s="49"/>
      <c r="E1493" s="34"/>
      <c r="F1493" s="34"/>
    </row>
    <row r="1494" spans="2:6" ht="15.75">
      <c r="B1494" s="21"/>
      <c r="C1494" s="33"/>
      <c r="D1494" s="49"/>
      <c r="E1494" s="34"/>
      <c r="F1494" s="34"/>
    </row>
    <row r="1495" spans="2:6" ht="15.75">
      <c r="B1495" s="21"/>
      <c r="C1495" s="33"/>
      <c r="D1495" s="49"/>
      <c r="E1495" s="34"/>
      <c r="F1495" s="34"/>
    </row>
    <row r="1496" spans="2:6" ht="15.75">
      <c r="B1496" s="21"/>
      <c r="C1496" s="33"/>
      <c r="D1496" s="49"/>
      <c r="E1496" s="34"/>
      <c r="F1496" s="34"/>
    </row>
    <row r="1497" spans="2:6" ht="15.75">
      <c r="B1497" s="21"/>
      <c r="C1497" s="33"/>
      <c r="D1497" s="49"/>
      <c r="E1497" s="34"/>
      <c r="F1497" s="34"/>
    </row>
    <row r="1498" spans="2:6" ht="15.75">
      <c r="B1498" s="21"/>
      <c r="C1498" s="33"/>
      <c r="D1498" s="49"/>
      <c r="E1498" s="34"/>
      <c r="F1498" s="34"/>
    </row>
    <row r="1499" spans="2:6" ht="15.75">
      <c r="B1499" s="21"/>
      <c r="C1499" s="33"/>
      <c r="D1499" s="49"/>
      <c r="E1499" s="34"/>
      <c r="F1499" s="34"/>
    </row>
    <row r="1500" spans="2:6" ht="15.75">
      <c r="B1500" s="21"/>
      <c r="C1500" s="33"/>
      <c r="D1500" s="49"/>
      <c r="E1500" s="34"/>
      <c r="F1500" s="34"/>
    </row>
    <row r="1501" spans="2:6" ht="15.75">
      <c r="B1501" s="21"/>
      <c r="C1501" s="33"/>
      <c r="D1501" s="49"/>
      <c r="E1501" s="34"/>
      <c r="F1501" s="34"/>
    </row>
    <row r="1502" spans="2:6" ht="15.75">
      <c r="B1502" s="21"/>
      <c r="C1502" s="33"/>
      <c r="D1502" s="49"/>
      <c r="E1502" s="34"/>
      <c r="F1502" s="34"/>
    </row>
    <row r="1503" spans="2:6" ht="15.75">
      <c r="B1503" s="21"/>
      <c r="C1503" s="33"/>
      <c r="D1503" s="49"/>
      <c r="E1503" s="34"/>
      <c r="F1503" s="34"/>
    </row>
    <row r="1504" spans="2:6" ht="15.75">
      <c r="B1504" s="21"/>
      <c r="C1504" s="33"/>
      <c r="D1504" s="49"/>
      <c r="E1504" s="34"/>
      <c r="F1504" s="34"/>
    </row>
    <row r="1505" spans="2:6" ht="15.75">
      <c r="B1505" s="21"/>
      <c r="C1505" s="33"/>
      <c r="D1505" s="49"/>
      <c r="E1505" s="34"/>
      <c r="F1505" s="34"/>
    </row>
    <row r="1506" spans="2:6" ht="15.75">
      <c r="B1506" s="21"/>
      <c r="C1506" s="33"/>
      <c r="D1506" s="49"/>
      <c r="E1506" s="34"/>
      <c r="F1506" s="34"/>
    </row>
    <row r="1507" spans="2:6" ht="15.75">
      <c r="B1507" s="21"/>
      <c r="C1507" s="33"/>
      <c r="D1507" s="49"/>
      <c r="E1507" s="34"/>
      <c r="F1507" s="34"/>
    </row>
    <row r="1508" spans="2:6" ht="15.75">
      <c r="B1508" s="21"/>
      <c r="C1508" s="33"/>
      <c r="D1508" s="49"/>
      <c r="E1508" s="34"/>
      <c r="F1508" s="34"/>
    </row>
    <row r="1509" spans="2:6" ht="15.75">
      <c r="B1509" s="21"/>
      <c r="C1509" s="33"/>
      <c r="D1509" s="49"/>
      <c r="E1509" s="34"/>
      <c r="F1509" s="34"/>
    </row>
    <row r="1510" spans="2:6" ht="15.75">
      <c r="B1510" s="21"/>
      <c r="C1510" s="33"/>
      <c r="D1510" s="49"/>
      <c r="E1510" s="34"/>
      <c r="F1510" s="34"/>
    </row>
    <row r="1511" spans="2:6" ht="15.75">
      <c r="B1511" s="21"/>
      <c r="C1511" s="33"/>
      <c r="D1511" s="49"/>
      <c r="E1511" s="34"/>
      <c r="F1511" s="34"/>
    </row>
    <row r="1512" spans="2:6" ht="15.75">
      <c r="B1512" s="21"/>
      <c r="C1512" s="33"/>
      <c r="D1512" s="49"/>
      <c r="E1512" s="34"/>
      <c r="F1512" s="34"/>
    </row>
    <row r="1513" spans="2:6" ht="15.75">
      <c r="B1513" s="21"/>
      <c r="C1513" s="33"/>
      <c r="D1513" s="49"/>
      <c r="E1513" s="34"/>
      <c r="F1513" s="34"/>
    </row>
    <row r="1514" spans="2:6" ht="15.75">
      <c r="B1514" s="21"/>
      <c r="C1514" s="33"/>
      <c r="D1514" s="49"/>
      <c r="E1514" s="34"/>
      <c r="F1514" s="34"/>
    </row>
    <row r="1515" spans="2:6" ht="15.75">
      <c r="B1515" s="21"/>
      <c r="C1515" s="33"/>
      <c r="D1515" s="49"/>
      <c r="E1515" s="34"/>
      <c r="F1515" s="34"/>
    </row>
    <row r="1516" spans="2:6" ht="15.75">
      <c r="B1516" s="21"/>
      <c r="C1516" s="33"/>
      <c r="D1516" s="49"/>
      <c r="E1516" s="34"/>
      <c r="F1516" s="34"/>
    </row>
    <row r="1517" spans="2:6" ht="15.75">
      <c r="B1517" s="21"/>
      <c r="C1517" s="33"/>
      <c r="D1517" s="49"/>
      <c r="E1517" s="34"/>
      <c r="F1517" s="34"/>
    </row>
    <row r="1518" spans="2:6" ht="15.75">
      <c r="B1518" s="21"/>
      <c r="C1518" s="33"/>
      <c r="D1518" s="49"/>
      <c r="E1518" s="34"/>
      <c r="F1518" s="34"/>
    </row>
    <row r="1519" spans="2:6" ht="15.75">
      <c r="B1519" s="21"/>
      <c r="C1519" s="33"/>
      <c r="D1519" s="49"/>
      <c r="E1519" s="34"/>
      <c r="F1519" s="34"/>
    </row>
    <row r="1520" spans="2:6" ht="15.75">
      <c r="B1520" s="21"/>
      <c r="C1520" s="33"/>
      <c r="D1520" s="49"/>
      <c r="E1520" s="34"/>
      <c r="F1520" s="34"/>
    </row>
    <row r="1521" spans="2:6" ht="15.75">
      <c r="B1521" s="21"/>
      <c r="C1521" s="33"/>
      <c r="D1521" s="49"/>
      <c r="E1521" s="34"/>
      <c r="F1521" s="34"/>
    </row>
    <row r="1522" spans="2:6" ht="15.75">
      <c r="B1522" s="21"/>
      <c r="C1522" s="33"/>
      <c r="D1522" s="49"/>
      <c r="E1522" s="34"/>
      <c r="F1522" s="34"/>
    </row>
    <row r="1523" spans="2:6" ht="15.75">
      <c r="B1523" s="21"/>
      <c r="C1523" s="33"/>
      <c r="D1523" s="49"/>
      <c r="E1523" s="34"/>
      <c r="F1523" s="34"/>
    </row>
    <row r="1524" spans="2:6" ht="15.75">
      <c r="B1524" s="21"/>
      <c r="C1524" s="33"/>
      <c r="D1524" s="49"/>
      <c r="E1524" s="34"/>
      <c r="F1524" s="34"/>
    </row>
    <row r="1525" spans="2:6" ht="15.75">
      <c r="B1525" s="21"/>
      <c r="C1525" s="33"/>
      <c r="D1525" s="49"/>
      <c r="E1525" s="34"/>
      <c r="F1525" s="34"/>
    </row>
    <row r="1526" spans="2:6" ht="15.75">
      <c r="B1526" s="21"/>
      <c r="C1526" s="33"/>
      <c r="D1526" s="49"/>
      <c r="E1526" s="34"/>
      <c r="F1526" s="34"/>
    </row>
    <row r="1527" spans="2:6" ht="15.75">
      <c r="B1527" s="21"/>
      <c r="C1527" s="33"/>
      <c r="D1527" s="49"/>
      <c r="E1527" s="34"/>
      <c r="F1527" s="34"/>
    </row>
    <row r="1528" spans="2:6" ht="15.75">
      <c r="B1528" s="21"/>
      <c r="C1528" s="33"/>
      <c r="D1528" s="49"/>
      <c r="E1528" s="34"/>
      <c r="F1528" s="34"/>
    </row>
    <row r="1529" spans="2:6" ht="15.75">
      <c r="B1529" s="21"/>
      <c r="C1529" s="33"/>
      <c r="D1529" s="49"/>
      <c r="E1529" s="34"/>
      <c r="F1529" s="34"/>
    </row>
    <row r="1530" spans="2:6" ht="15.75">
      <c r="B1530" s="21"/>
      <c r="C1530" s="33"/>
      <c r="D1530" s="49"/>
      <c r="E1530" s="34"/>
      <c r="F1530" s="34"/>
    </row>
    <row r="1531" spans="2:6" ht="15.75">
      <c r="B1531" s="21"/>
      <c r="C1531" s="33"/>
      <c r="D1531" s="49"/>
      <c r="E1531" s="34"/>
      <c r="F1531" s="34"/>
    </row>
    <row r="1532" spans="2:6" ht="15.75">
      <c r="B1532" s="21"/>
      <c r="C1532" s="33"/>
      <c r="D1532" s="49"/>
      <c r="E1532" s="34"/>
      <c r="F1532" s="34"/>
    </row>
    <row r="1533" spans="2:6" ht="15.75">
      <c r="B1533" s="21"/>
      <c r="C1533" s="33"/>
      <c r="D1533" s="49"/>
      <c r="E1533" s="34"/>
      <c r="F1533" s="34"/>
    </row>
    <row r="1534" spans="2:6" ht="15.75">
      <c r="B1534" s="21"/>
      <c r="C1534" s="33"/>
      <c r="D1534" s="49"/>
      <c r="E1534" s="34"/>
      <c r="F1534" s="34"/>
    </row>
    <row r="1535" spans="2:6" ht="15.75">
      <c r="B1535" s="21"/>
      <c r="C1535" s="33"/>
      <c r="D1535" s="49"/>
      <c r="E1535" s="34"/>
      <c r="F1535" s="34"/>
    </row>
    <row r="1536" spans="2:6" ht="15.75">
      <c r="B1536" s="21"/>
      <c r="C1536" s="33"/>
      <c r="D1536" s="49"/>
      <c r="E1536" s="34"/>
      <c r="F1536" s="34"/>
    </row>
    <row r="1537" spans="2:6" ht="15.75">
      <c r="B1537" s="21"/>
      <c r="C1537" s="33"/>
      <c r="D1537" s="49"/>
      <c r="E1537" s="34"/>
      <c r="F1537" s="34"/>
    </row>
    <row r="1538" spans="2:6" ht="15.75">
      <c r="B1538" s="21"/>
      <c r="C1538" s="33"/>
      <c r="D1538" s="49"/>
      <c r="E1538" s="34"/>
      <c r="F1538" s="34"/>
    </row>
    <row r="1539" spans="2:6" ht="15.75">
      <c r="B1539" s="21"/>
      <c r="C1539" s="33"/>
      <c r="D1539" s="49"/>
      <c r="E1539" s="34"/>
      <c r="F1539" s="34"/>
    </row>
    <row r="1540" spans="2:6" ht="15.75">
      <c r="B1540" s="21"/>
      <c r="C1540" s="33"/>
      <c r="D1540" s="49"/>
      <c r="E1540" s="34"/>
      <c r="F1540" s="34"/>
    </row>
    <row r="1541" spans="2:6" ht="15.75">
      <c r="B1541" s="21"/>
      <c r="C1541" s="33"/>
      <c r="D1541" s="49"/>
      <c r="E1541" s="34"/>
      <c r="F1541" s="34"/>
    </row>
    <row r="1542" spans="2:6" ht="15.75">
      <c r="B1542" s="21"/>
      <c r="C1542" s="33"/>
      <c r="D1542" s="49"/>
      <c r="E1542" s="34"/>
      <c r="F1542" s="34"/>
    </row>
    <row r="1543" spans="2:6" ht="15.75">
      <c r="B1543" s="21"/>
      <c r="C1543" s="33"/>
      <c r="D1543" s="49"/>
      <c r="E1543" s="34"/>
      <c r="F1543" s="34"/>
    </row>
    <row r="1544" spans="2:6" ht="15.75">
      <c r="B1544" s="21"/>
      <c r="C1544" s="33"/>
      <c r="D1544" s="49"/>
      <c r="E1544" s="34"/>
      <c r="F1544" s="34"/>
    </row>
    <row r="1545" spans="2:6" ht="15.75">
      <c r="B1545" s="21"/>
      <c r="C1545" s="33"/>
      <c r="D1545" s="49"/>
      <c r="E1545" s="34"/>
      <c r="F1545" s="34"/>
    </row>
    <row r="1546" spans="2:6" ht="15.75">
      <c r="B1546" s="21"/>
      <c r="C1546" s="33"/>
      <c r="D1546" s="49"/>
      <c r="E1546" s="34"/>
      <c r="F1546" s="34"/>
    </row>
    <row r="1547" spans="2:6" ht="15.75">
      <c r="B1547" s="21"/>
      <c r="C1547" s="33"/>
      <c r="D1547" s="49"/>
      <c r="E1547" s="34"/>
      <c r="F1547" s="34"/>
    </row>
    <row r="1548" spans="2:6" ht="15.75">
      <c r="B1548" s="21"/>
      <c r="C1548" s="33"/>
      <c r="D1548" s="49"/>
      <c r="E1548" s="34"/>
      <c r="F1548" s="34"/>
    </row>
    <row r="1549" spans="2:6" ht="15.75">
      <c r="B1549" s="21"/>
      <c r="C1549" s="33"/>
      <c r="D1549" s="49"/>
      <c r="E1549" s="34"/>
      <c r="F1549" s="34"/>
    </row>
    <row r="1550" spans="2:6" ht="15.75">
      <c r="B1550" s="21"/>
      <c r="C1550" s="33"/>
      <c r="D1550" s="49"/>
      <c r="E1550" s="34"/>
      <c r="F1550" s="34"/>
    </row>
    <row r="1551" spans="2:6" ht="15.75">
      <c r="B1551" s="21"/>
      <c r="C1551" s="33"/>
      <c r="D1551" s="49"/>
      <c r="E1551" s="34"/>
      <c r="F1551" s="34"/>
    </row>
    <row r="1552" spans="2:6" ht="15.75">
      <c r="B1552" s="21"/>
      <c r="C1552" s="33"/>
      <c r="D1552" s="49"/>
      <c r="E1552" s="34"/>
      <c r="F1552" s="34"/>
    </row>
    <row r="1553" spans="2:6" ht="15.75">
      <c r="B1553" s="21"/>
      <c r="C1553" s="33"/>
      <c r="D1553" s="49"/>
      <c r="E1553" s="34"/>
      <c r="F1553" s="34"/>
    </row>
    <row r="1554" spans="2:6" ht="15.75">
      <c r="B1554" s="21"/>
      <c r="C1554" s="33"/>
      <c r="D1554" s="49"/>
      <c r="E1554" s="34"/>
      <c r="F1554" s="34"/>
    </row>
    <row r="1555" spans="2:6" ht="15.75">
      <c r="B1555" s="21"/>
      <c r="C1555" s="33"/>
      <c r="D1555" s="49"/>
      <c r="E1555" s="34"/>
      <c r="F1555" s="34"/>
    </row>
    <row r="1556" spans="2:6" ht="15.75">
      <c r="B1556" s="21"/>
      <c r="C1556" s="33"/>
      <c r="D1556" s="49"/>
      <c r="E1556" s="34"/>
      <c r="F1556" s="34"/>
    </row>
    <row r="1557" spans="2:6" ht="15.75">
      <c r="B1557" s="21"/>
      <c r="C1557" s="33"/>
      <c r="D1557" s="49"/>
      <c r="E1557" s="34"/>
      <c r="F1557" s="34"/>
    </row>
    <row r="1558" spans="2:6" ht="15.75">
      <c r="B1558" s="21"/>
      <c r="C1558" s="33"/>
      <c r="D1558" s="49"/>
      <c r="E1558" s="34"/>
      <c r="F1558" s="34"/>
    </row>
    <row r="1559" spans="2:6" ht="15.75">
      <c r="B1559" s="21"/>
      <c r="C1559" s="33"/>
      <c r="D1559" s="49"/>
      <c r="E1559" s="34"/>
      <c r="F1559" s="34"/>
    </row>
    <row r="1560" spans="2:6" ht="15.75">
      <c r="B1560" s="21"/>
      <c r="C1560" s="33"/>
      <c r="D1560" s="49"/>
      <c r="E1560" s="34"/>
      <c r="F1560" s="34"/>
    </row>
    <row r="1561" spans="2:6" ht="15.75">
      <c r="B1561" s="21"/>
      <c r="C1561" s="33"/>
      <c r="D1561" s="49"/>
      <c r="E1561" s="34"/>
      <c r="F1561" s="34"/>
    </row>
    <row r="1562" spans="2:6" ht="15.75">
      <c r="B1562" s="21"/>
      <c r="C1562" s="33"/>
      <c r="D1562" s="49"/>
      <c r="E1562" s="34"/>
      <c r="F1562" s="34"/>
    </row>
    <row r="1563" spans="2:6" ht="15.75">
      <c r="B1563" s="21"/>
      <c r="C1563" s="33"/>
      <c r="D1563" s="49"/>
      <c r="E1563" s="34"/>
      <c r="F1563" s="34"/>
    </row>
    <row r="1564" spans="2:6" ht="15.75">
      <c r="B1564" s="21"/>
      <c r="C1564" s="33"/>
      <c r="D1564" s="49"/>
      <c r="E1564" s="34"/>
      <c r="F1564" s="34"/>
    </row>
    <row r="1565" spans="2:6" ht="15.75">
      <c r="B1565" s="21"/>
      <c r="C1565" s="33"/>
      <c r="D1565" s="49"/>
      <c r="E1565" s="34"/>
      <c r="F1565" s="34"/>
    </row>
    <row r="1566" spans="2:6" ht="15.75">
      <c r="B1566" s="21"/>
      <c r="C1566" s="33"/>
      <c r="D1566" s="49"/>
      <c r="E1566" s="34"/>
      <c r="F1566" s="34"/>
    </row>
    <row r="1567" spans="2:6" ht="15.75">
      <c r="B1567" s="21"/>
      <c r="C1567" s="33"/>
      <c r="D1567" s="49"/>
      <c r="E1567" s="34"/>
      <c r="F1567" s="34"/>
    </row>
    <row r="1568" spans="2:6" ht="15.75">
      <c r="B1568" s="21"/>
      <c r="C1568" s="33"/>
      <c r="D1568" s="49"/>
      <c r="E1568" s="34"/>
      <c r="F1568" s="34"/>
    </row>
    <row r="1569" spans="2:6" ht="15.75">
      <c r="B1569" s="21"/>
      <c r="C1569" s="33"/>
      <c r="D1569" s="49"/>
      <c r="E1569" s="34"/>
      <c r="F1569" s="34"/>
    </row>
    <row r="1570" spans="2:6" ht="15.75">
      <c r="B1570" s="21"/>
      <c r="C1570" s="33"/>
      <c r="D1570" s="49"/>
      <c r="E1570" s="34"/>
      <c r="F1570" s="34"/>
    </row>
    <row r="1571" spans="2:6" ht="15.75">
      <c r="B1571" s="21"/>
      <c r="C1571" s="33"/>
      <c r="D1571" s="49"/>
      <c r="E1571" s="34"/>
      <c r="F1571" s="34"/>
    </row>
    <row r="1572" spans="2:6" ht="15.75">
      <c r="B1572" s="21"/>
      <c r="C1572" s="33"/>
      <c r="D1572" s="49"/>
      <c r="E1572" s="34"/>
      <c r="F1572" s="34"/>
    </row>
    <row r="1573" spans="2:6" ht="15.75">
      <c r="B1573" s="21"/>
      <c r="C1573" s="33"/>
      <c r="D1573" s="49"/>
      <c r="E1573" s="34"/>
      <c r="F1573" s="34"/>
    </row>
    <row r="1574" spans="2:6" ht="15.75">
      <c r="B1574" s="21"/>
      <c r="C1574" s="33"/>
      <c r="D1574" s="49"/>
      <c r="E1574" s="34"/>
      <c r="F1574" s="34"/>
    </row>
    <row r="1575" spans="2:6" ht="15.75">
      <c r="B1575" s="21"/>
      <c r="C1575" s="33"/>
      <c r="D1575" s="49"/>
      <c r="E1575" s="34"/>
      <c r="F1575" s="34"/>
    </row>
    <row r="1576" spans="2:6" ht="15.75">
      <c r="B1576" s="21"/>
      <c r="C1576" s="33"/>
      <c r="D1576" s="49"/>
      <c r="E1576" s="34"/>
      <c r="F1576" s="34"/>
    </row>
    <row r="1577" spans="2:6" ht="15.75">
      <c r="B1577" s="21"/>
      <c r="C1577" s="33"/>
      <c r="D1577" s="49"/>
      <c r="E1577" s="34"/>
      <c r="F1577" s="34"/>
    </row>
    <row r="1578" spans="2:6" ht="15.75">
      <c r="B1578" s="21"/>
      <c r="C1578" s="33"/>
      <c r="D1578" s="49"/>
      <c r="E1578" s="34"/>
      <c r="F1578" s="34"/>
    </row>
    <row r="1579" spans="2:6" ht="15.75">
      <c r="B1579" s="21"/>
      <c r="C1579" s="33"/>
      <c r="D1579" s="49"/>
      <c r="E1579" s="34"/>
      <c r="F1579" s="34"/>
    </row>
    <row r="1580" spans="2:6" ht="15.75">
      <c r="B1580" s="21"/>
      <c r="C1580" s="33"/>
      <c r="D1580" s="49"/>
      <c r="E1580" s="34"/>
      <c r="F1580" s="34"/>
    </row>
    <row r="1581" spans="2:6" ht="15.75">
      <c r="B1581" s="21"/>
      <c r="C1581" s="33"/>
      <c r="D1581" s="49"/>
      <c r="E1581" s="34"/>
      <c r="F1581" s="34"/>
    </row>
    <row r="1582" spans="2:6" ht="15.75">
      <c r="B1582" s="21"/>
      <c r="C1582" s="33"/>
      <c r="D1582" s="49"/>
      <c r="E1582" s="34"/>
      <c r="F1582" s="34"/>
    </row>
    <row r="1583" spans="2:6" ht="15.75">
      <c r="B1583" s="21"/>
      <c r="C1583" s="33"/>
      <c r="D1583" s="49"/>
      <c r="E1583" s="34"/>
      <c r="F1583" s="34"/>
    </row>
    <row r="1584" spans="2:6" ht="15.75">
      <c r="B1584" s="21"/>
      <c r="C1584" s="33"/>
      <c r="D1584" s="49"/>
      <c r="E1584" s="34"/>
      <c r="F1584" s="34"/>
    </row>
    <row r="1585" spans="2:6" ht="15.75">
      <c r="B1585" s="21"/>
      <c r="C1585" s="33"/>
      <c r="D1585" s="49"/>
      <c r="E1585" s="34"/>
      <c r="F1585" s="34"/>
    </row>
    <row r="1586" spans="2:6" ht="15.75">
      <c r="B1586" s="21"/>
      <c r="C1586" s="33"/>
      <c r="D1586" s="49"/>
      <c r="E1586" s="34"/>
      <c r="F1586" s="34"/>
    </row>
    <row r="1587" spans="2:6" ht="15.75">
      <c r="B1587" s="21"/>
      <c r="C1587" s="33"/>
      <c r="D1587" s="49"/>
      <c r="E1587" s="34"/>
      <c r="F1587" s="34"/>
    </row>
    <row r="1588" spans="2:6" ht="15.75">
      <c r="B1588" s="21"/>
      <c r="C1588" s="33"/>
      <c r="D1588" s="49"/>
      <c r="E1588" s="34"/>
      <c r="F1588" s="34"/>
    </row>
    <row r="1589" spans="2:6" ht="15.75">
      <c r="B1589" s="21"/>
      <c r="C1589" s="33"/>
      <c r="D1589" s="49"/>
      <c r="E1589" s="34"/>
      <c r="F1589" s="34"/>
    </row>
    <row r="1590" spans="2:6" ht="15.75">
      <c r="B1590" s="21"/>
      <c r="C1590" s="33"/>
      <c r="D1590" s="49"/>
      <c r="E1590" s="34"/>
      <c r="F1590" s="34"/>
    </row>
    <row r="1591" spans="2:6" ht="15.75">
      <c r="B1591" s="21"/>
      <c r="C1591" s="33"/>
      <c r="D1591" s="49"/>
      <c r="E1591" s="34"/>
      <c r="F1591" s="34"/>
    </row>
  </sheetData>
  <sheetProtection/>
  <mergeCells count="13">
    <mergeCell ref="Q1215:Q1218"/>
    <mergeCell ref="B1215:O1218"/>
    <mergeCell ref="O643:O646"/>
    <mergeCell ref="M643:M646"/>
    <mergeCell ref="K643:K646"/>
    <mergeCell ref="I643:I646"/>
    <mergeCell ref="Q643:Q646"/>
    <mergeCell ref="G643:G646"/>
    <mergeCell ref="B643:F646"/>
    <mergeCell ref="E2:F4"/>
    <mergeCell ref="D5:Q5"/>
    <mergeCell ref="B7:Q7"/>
    <mergeCell ref="B8:Q8"/>
  </mergeCells>
  <hyperlinks>
    <hyperlink ref="B491" r:id="rId1" display="consultantplus://offline/ref=EDEB0128DA12F6A991391BB484C27676828F870A827893936F6B74385748C936DB7C0C672286FF87B0AC43AEb9ZEG"/>
    <hyperlink ref="B1088" r:id="rId2" display="consultantplus://offline/ref=EDEB0128DA12F6A991391BB484C27676828F870A827893936F6B74385748C936DB7C0C672286FF87B0AC43AEb9ZEG"/>
  </hyperlinks>
  <printOptions/>
  <pageMargins left="0.78" right="0.18" top="0.17" bottom="0.1968503937007874" header="0.2" footer="0.1968503937007874"/>
  <pageSetup horizontalDpi="600" verticalDpi="600" orientation="portrait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NAROD</cp:lastModifiedBy>
  <cp:lastPrinted>2013-05-08T05:30:13Z</cp:lastPrinted>
  <dcterms:created xsi:type="dcterms:W3CDTF">2007-11-30T10:50:47Z</dcterms:created>
  <dcterms:modified xsi:type="dcterms:W3CDTF">2013-07-02T08:25:28Z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