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1"/>
  </bookViews>
  <sheets>
    <sheet name="Лист1" sheetId="1" r:id="rId1"/>
    <sheet name="прил.3 (2)" sheetId="2" r:id="rId2"/>
  </sheets>
  <definedNames>
    <definedName name="_xlnm._FilterDatabase" localSheetId="1" hidden="1">'прил.3 (2)'!$D$1:$D$938</definedName>
  </definedNames>
  <calcPr fullCalcOnLoad="1"/>
</workbook>
</file>

<file path=xl/sharedStrings.xml><?xml version="1.0" encoding="utf-8"?>
<sst xmlns="http://schemas.openxmlformats.org/spreadsheetml/2006/main" count="3793" uniqueCount="533">
  <si>
    <t>0760000</t>
  </si>
  <si>
    <t>0762202</t>
  </si>
  <si>
    <t>Подпрограмма 7 "Развитие транспорта и транспортной инфраструктуры в МО Красноуфимский округ"</t>
  </si>
  <si>
    <t>Проведение отдельных мероприятий в области автомобильного транспорта</t>
  </si>
  <si>
    <t>0970000</t>
  </si>
  <si>
    <t>0972302</t>
  </si>
  <si>
    <t>520000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</si>
  <si>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</si>
  <si>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</si>
  <si>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</si>
  <si>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</si>
  <si>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</si>
  <si>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</si>
  <si>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</si>
  <si>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</si>
  <si>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</si>
  <si>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</si>
  <si>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46060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</si>
  <si>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</si>
  <si>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</si>
  <si>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</si>
  <si>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</si>
  <si>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</si>
  <si>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</si>
  <si>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</si>
  <si>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</si>
  <si>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</si>
  <si>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</si>
  <si>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</si>
  <si>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</si>
  <si>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</si>
  <si>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</si>
  <si>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</si>
  <si>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</si>
  <si>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</si>
  <si>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</si>
  <si>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</si>
  <si>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</si>
  <si>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</si>
  <si>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</si>
  <si>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</si>
  <si>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</si>
  <si>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</si>
  <si>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</si>
  <si>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</si>
  <si>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</si>
  <si>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</si>
  <si>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</si>
  <si>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</si>
  <si>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</si>
  <si>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</si>
  <si>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</si>
  <si>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022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</si>
  <si>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</si>
  <si>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</si>
  <si>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</si>
  <si>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</si>
  <si>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</si>
  <si>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</si>
  <si>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</si>
  <si>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</si>
  <si>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</si>
  <si>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</si>
  <si>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</si>
  <si>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</si>
  <si>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</si>
  <si>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</si>
  <si>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</si>
  <si>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</si>
  <si>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</si>
  <si>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</si>
  <si>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</si>
  <si>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</si>
  <si>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</si>
  <si>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</si>
  <si>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</si>
  <si>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</si>
  <si>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</si>
  <si>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</si>
  <si>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</si>
  <si>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</si>
  <si>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</si>
  <si>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</si>
  <si>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</si>
  <si>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</si>
  <si>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</si>
  <si>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</si>
  <si>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</si>
  <si>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</si>
  <si>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</si>
  <si>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</si>
  <si>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</si>
  <si>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</si>
  <si>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</si>
  <si>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0013600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</si>
  <si>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</si>
  <si>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</si>
  <si>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</si>
  <si>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</si>
  <si>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</si>
  <si>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</si>
  <si>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</si>
  <si>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</si>
  <si>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</si>
  <si>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</si>
  <si>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</si>
  <si>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</si>
  <si>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0105</t>
  </si>
  <si>
    <t>Мероприятия по землеустройству и землепользованию</t>
  </si>
  <si>
    <t>902</t>
  </si>
  <si>
    <t>901</t>
  </si>
  <si>
    <t>0602</t>
  </si>
  <si>
    <t>0700000</t>
  </si>
  <si>
    <t>0113</t>
  </si>
  <si>
    <t>0804</t>
  </si>
  <si>
    <t xml:space="preserve">Культура, кинематография </t>
  </si>
  <si>
    <t>906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</si>
  <si>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</si>
  <si>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</si>
  <si>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</si>
  <si>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</si>
  <si>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</si>
  <si>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</si>
  <si>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</si>
  <si>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</si>
  <si>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</si>
  <si>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</si>
  <si>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</si>
  <si>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</si>
  <si>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</si>
  <si>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</si>
  <si>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</si>
  <si>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</si>
  <si>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</si>
  <si>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</si>
  <si>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</si>
  <si>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</si>
  <si>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</si>
  <si>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243</t>
  </si>
  <si>
    <t>Закупка товаров, работ, услуг в целях капитального ремонта</t>
  </si>
  <si>
    <t>Специальные расходы</t>
  </si>
  <si>
    <t>880</t>
  </si>
  <si>
    <t>Меры социальной поддержки населения по публичным нормативным обязательствам</t>
  </si>
  <si>
    <t>314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</si>
  <si>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</si>
  <si>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611</t>
  </si>
  <si>
    <t>121</t>
  </si>
  <si>
    <t>122</t>
  </si>
  <si>
    <t>Уплата прочих налогов, сборов и иных платежей</t>
  </si>
  <si>
    <t>870</t>
  </si>
  <si>
    <t>831</t>
  </si>
  <si>
    <t>810</t>
  </si>
  <si>
    <t>730</t>
  </si>
  <si>
    <t>919</t>
  </si>
  <si>
    <t>312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</si>
  <si>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</si>
  <si>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</si>
  <si>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</si>
  <si>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</si>
  <si>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912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</si>
  <si>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</si>
  <si>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</si>
  <si>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>411</t>
  </si>
  <si>
    <t xml:space="preserve">Прочая закупка товаров, работ и услуг для муниципальных нужд </t>
  </si>
  <si>
    <t>0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</si>
  <si>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</si>
  <si>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</si>
  <si>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</si>
  <si>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</si>
  <si>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</si>
  <si>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2180500</t>
  </si>
  <si>
    <t>908</t>
  </si>
  <si>
    <t>300000</t>
  </si>
  <si>
    <t>30000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</si>
  <si>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2013 год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</si>
  <si>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</si>
  <si>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</si>
  <si>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 xml:space="preserve">              Наименование раздела, подраздела, целевой статьи или подгруппы видов расходов</t>
  </si>
  <si>
    <t>7001001</t>
  </si>
  <si>
    <t>7001003</t>
  </si>
  <si>
    <t>Непрограммные направления деятельности</t>
  </si>
  <si>
    <t>7000000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</si>
  <si>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</si>
  <si>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</si>
  <si>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бюджетным процессом и его совершенствование"</t>
  </si>
  <si>
    <t>1012100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</si>
  <si>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</si>
  <si>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</si>
  <si>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</si>
  <si>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</si>
  <si>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</si>
  <si>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</si>
  <si>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</si>
  <si>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</si>
  <si>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</si>
  <si>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>Организация деятельности учреждений культуры и искусства культурно-досуговой сферы за счет доходов от оказания платных услуг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</si>
  <si>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</si>
  <si>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</si>
  <si>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0312602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</si>
  <si>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</si>
  <si>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</si>
  <si>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</si>
  <si>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</si>
  <si>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</si>
  <si>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0312605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</si>
  <si>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</si>
  <si>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</si>
  <si>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</si>
  <si>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</si>
  <si>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</si>
  <si>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</si>
  <si>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</si>
  <si>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</si>
  <si>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</si>
  <si>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</si>
  <si>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</si>
  <si>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</si>
  <si>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</si>
  <si>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</si>
  <si>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</si>
  <si>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090000</t>
  </si>
  <si>
    <t>Подпрограмма   «Обеспечение реализации муниципальной программы»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</si>
  <si>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</si>
  <si>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</si>
  <si>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</si>
  <si>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</si>
  <si>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</si>
  <si>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</si>
  <si>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853000</t>
  </si>
  <si>
    <t>Капитальный ремонт муниципального жилого фонда</t>
  </si>
  <si>
    <t>0922302</t>
  </si>
  <si>
    <t>Программа "Обеспечение безопасности на территории МО Красноуфимский округ"</t>
  </si>
  <si>
    <t>Подпрограмма "Обеспечение безопасности на опасных объектах МО Красноуфимский округ"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</si>
  <si>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</si>
  <si>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</si>
  <si>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</si>
  <si>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</si>
  <si>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</si>
  <si>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</si>
  <si>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</si>
  <si>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12945700</t>
  </si>
  <si>
    <t>Разработка проектной документации на объекты строительства и реконструкции коммунальной инфраструктуры</t>
  </si>
  <si>
    <t>0912302</t>
  </si>
  <si>
    <t xml:space="preserve">Модернизация объектов коммунального  хозяйства </t>
  </si>
  <si>
    <t>0912303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</si>
  <si>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</si>
  <si>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</si>
  <si>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</si>
  <si>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</si>
  <si>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</si>
  <si>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</si>
  <si>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</si>
  <si>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</si>
  <si>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</si>
  <si>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Программа. "Устойчивое развитие сельских территорий МО Красноуфитмский округ на 2014-2017 гг и на период до 2020года"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</si>
  <si>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</si>
  <si>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</si>
  <si>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</si>
  <si>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</si>
  <si>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Бюджетные инвестиции в объекты муниципальной собственности казенным учреждениям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</si>
  <si>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</si>
  <si>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</si>
  <si>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</si>
  <si>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</si>
  <si>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</si>
  <si>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</si>
  <si>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</si>
  <si>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</si>
  <si>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700000</t>
  </si>
  <si>
    <t>Реконструкция и капитальный ремонт дворовых территорий многоквартирных домов</t>
  </si>
  <si>
    <t>0942303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</si>
  <si>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</si>
  <si>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</si>
  <si>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</si>
  <si>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</si>
  <si>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</si>
  <si>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</si>
  <si>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</si>
  <si>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</si>
  <si>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</si>
  <si>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</t>
  </si>
  <si>
    <t>0211512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</si>
  <si>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</si>
  <si>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</si>
  <si>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</si>
  <si>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</si>
  <si>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</si>
  <si>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</si>
  <si>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</si>
  <si>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</si>
  <si>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</si>
  <si>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</si>
  <si>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Субсидии на осуществление капитальных вложений в объекты капитального строительства бюджетным учреждениям</t>
  </si>
  <si>
    <t>464</t>
  </si>
  <si>
    <t>Подпрограмма«Развитие системы общего образования в Муниципальном образовании Красноуфимский округ»</t>
  </si>
  <si>
    <t>0220000</t>
  </si>
  <si>
    <t>Обеспечение государственных  гарантий прав граждан на получение  общего образования в муниципальных общеобразовательных организациях</t>
  </si>
  <si>
    <t>0224530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</si>
  <si>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</si>
  <si>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</si>
  <si>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</si>
  <si>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</si>
  <si>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</si>
  <si>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</si>
  <si>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</si>
  <si>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</si>
  <si>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</si>
  <si>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</si>
  <si>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</si>
  <si>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Субсидии автономным учреждениям на финансовое обеспечение муниципального задания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</si>
  <si>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</si>
  <si>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</si>
  <si>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</si>
  <si>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</si>
  <si>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</si>
  <si>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</si>
  <si>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</si>
  <si>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</si>
  <si>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</si>
  <si>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</si>
  <si>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</si>
  <si>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</si>
  <si>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</si>
  <si>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</si>
  <si>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</si>
  <si>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</si>
  <si>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</si>
  <si>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Обеспечение мероприятий по укреплению и развитию материально-технической базы муниципальных учреждений дополнительного образования детей (ДЮСШ)</t>
  </si>
  <si>
    <t>0252504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</si>
  <si>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</si>
  <si>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</si>
  <si>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</si>
  <si>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</si>
  <si>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</si>
  <si>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</si>
  <si>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</si>
  <si>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</si>
  <si>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</si>
  <si>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</si>
  <si>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</si>
  <si>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</si>
  <si>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</si>
  <si>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</si>
  <si>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</si>
  <si>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</si>
  <si>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Оющее образование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</si>
  <si>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</si>
  <si>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</si>
  <si>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11416000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</si>
  <si>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</si>
  <si>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</si>
  <si>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</si>
  <si>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</si>
  <si>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4269000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</si>
  <si>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</si>
  <si>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</si>
  <si>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субсидий</t>
  </si>
  <si>
    <t>0984910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</si>
  <si>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</si>
  <si>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</si>
  <si>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</si>
  <si>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</si>
  <si>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</si>
  <si>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</si>
  <si>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</si>
  <si>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</si>
  <si>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</si>
  <si>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</si>
  <si>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</si>
  <si>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</si>
  <si>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</si>
  <si>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</si>
  <si>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</si>
  <si>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</si>
  <si>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</si>
  <si>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</si>
  <si>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</si>
  <si>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</si>
  <si>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</si>
  <si>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</si>
  <si>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</si>
  <si>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</si>
  <si>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</si>
  <si>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</si>
  <si>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</si>
  <si>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</si>
  <si>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</si>
  <si>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</si>
  <si>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</si>
  <si>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</si>
  <si>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</si>
  <si>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</si>
  <si>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</si>
  <si>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</si>
  <si>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</si>
  <si>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</si>
  <si>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</si>
  <si>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</si>
  <si>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</si>
  <si>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</si>
  <si>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</si>
  <si>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</si>
  <si>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</si>
  <si>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</si>
  <si>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</si>
  <si>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</si>
  <si>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</si>
  <si>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</si>
  <si>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08241120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</si>
  <si>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</si>
  <si>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1010000</t>
  </si>
  <si>
    <t>Исполнение судебных актов  по искам к бюджету округа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</si>
  <si>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</si>
  <si>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</si>
  <si>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</si>
  <si>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</si>
  <si>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Непрограммные направления д расходов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</si>
  <si>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</si>
  <si>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</si>
  <si>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</si>
  <si>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</si>
  <si>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</si>
  <si>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</si>
  <si>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</si>
  <si>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</si>
  <si>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</si>
  <si>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Организация образовательного процесса за счет доходов от оказания платных услуг</t>
  </si>
  <si>
    <t>Учреждения по внешкольной работе с детьми</t>
  </si>
  <si>
    <t>0320000</t>
  </si>
  <si>
    <t>0322601</t>
  </si>
  <si>
    <t>4937942</t>
  </si>
  <si>
    <t>0322602</t>
  </si>
  <si>
    <t>400000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</si>
  <si>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</si>
  <si>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</si>
  <si>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</si>
  <si>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</si>
  <si>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</si>
  <si>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</si>
  <si>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</si>
  <si>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</si>
  <si>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</si>
  <si>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</si>
  <si>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</si>
  <si>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957000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</si>
  <si>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</si>
  <si>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</si>
  <si>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</si>
  <si>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</si>
  <si>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</si>
  <si>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</si>
  <si>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</si>
  <si>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</si>
  <si>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</si>
  <si>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</si>
  <si>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</si>
  <si>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</si>
  <si>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</si>
  <si>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85000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</si>
  <si>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</si>
  <si>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</si>
  <si>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</si>
  <si>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</si>
  <si>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</si>
  <si>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</si>
  <si>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</si>
  <si>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Межевание земельных участков</t>
  </si>
  <si>
    <t>0132103</t>
  </si>
  <si>
    <t>Оформление права собственности МО Красноуфимский округ на объекты недвижимости</t>
  </si>
  <si>
    <t>0112101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</si>
  <si>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2015 и 2016годы</t>
  </si>
  <si>
    <t>2014 год</t>
  </si>
  <si>
    <t>на 2015 год</t>
  </si>
  <si>
    <t>на 2016 год</t>
  </si>
  <si>
    <t>0552801</t>
  </si>
  <si>
    <t>0825120</t>
  </si>
  <si>
    <t>Субвенции для финансирования расходов на лосуществление гос.полномочий по составлению списков кандидатов в присяжные заседатели</t>
  </si>
  <si>
    <t>ИТОГО</t>
  </si>
  <si>
    <t>0850000</t>
  </si>
  <si>
    <t>Мероприятия по обеспечению перевода муниципальных услуг в электронный вид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</si>
  <si>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2014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</si>
  <si>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2014 год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</si>
  <si>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</si>
  <si>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0831001</t>
  </si>
  <si>
    <t>0520000</t>
  </si>
  <si>
    <t>0530000</t>
  </si>
  <si>
    <t>0540000</t>
  </si>
  <si>
    <t>0550000</t>
  </si>
  <si>
    <t>0310000</t>
  </si>
  <si>
    <t>0510000</t>
  </si>
  <si>
    <t>1030000</t>
  </si>
  <si>
    <t>Подпрограмма "Развитие и поддержка некомерческих общественных  организаций и объединений в МО Красноуфимский округ"</t>
  </si>
  <si>
    <t>Подпрограмма  "Содействие реализации муниципальных функций, связанных с общегосударственным управлением до 2020  года"</t>
  </si>
  <si>
    <t>на 2015год</t>
  </si>
  <si>
    <t>на 2016год</t>
  </si>
  <si>
    <t>0214511</t>
  </si>
  <si>
    <t>субсидии бюджетным учреждениям на обеспечение государственного (муниципального) задания на оказание  государственных (муниципальных) услуг</t>
  </si>
  <si>
    <t>0214512</t>
  </si>
  <si>
    <t>Обеспечение  государчственных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 финансирования расходов  на оплату труда работников докольных образовательных организаций</t>
  </si>
  <si>
    <t>Обеспечение  государчственных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 финансирования расходов   на приобретение  учебников и учебных пособий, средств обучения, игр,игрушек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</si>
  <si>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</si>
  <si>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</si>
  <si>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0224531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</si>
  <si>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раболтников общеобразовательных организаций</t>
  </si>
  <si>
    <t>Подпрограмма "Развитие системы общего образования в Муниципальном образовании  Красноуфимский округ до 2020 года"</t>
  </si>
  <si>
    <t>0224532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</si>
  <si>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 на приобретение  учебников и учебных пособий. средств обучения. игр, игрушек</t>
  </si>
  <si>
    <t>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рпаботников дошкольных  образовательных организаций</t>
  </si>
  <si>
    <t>субсидии автономным учреждениям на финансовое обеспечение госудасртвенного (муниципального)задания на оказание госудасртвенных (муниципальных) услуг (выполнение работ)</t>
  </si>
  <si>
    <t>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обучениея, игр, игрушек</t>
  </si>
  <si>
    <t>Субсидии автономным учреждениям на финансовое обеспечение государственного (муниципального) здания на оказание государственных (муниципальных) услуг (выполнение работ)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</si>
  <si>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</si>
  <si>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части финансирования расходов на приобретение  учебников и учебных пособий, средств обучения. игр, игрушек</t>
  </si>
  <si>
    <t>02610П1</t>
  </si>
  <si>
    <t>Организация деятельности органа местного самоуправления в сфере образования ( прочий персонал)</t>
  </si>
  <si>
    <t>Сумма, в рублях в 2015 году</t>
  </si>
  <si>
    <t>Сумма, в рублях в 2016 году</t>
  </si>
  <si>
    <t>Сумма, в рубляхв 2015 году</t>
  </si>
  <si>
    <t>Сумма в рублях в 2016 году</t>
  </si>
  <si>
    <t>0824120</t>
  </si>
  <si>
    <t>Программа. "Устойчивое развитие сельских территорий МО Красноуфимский округ на 2014-2017 гг и на период до 2020года"</t>
  </si>
  <si>
    <t>Подпрограмма «Развитие газификации МО Красноуфимский округ до 2020 года»</t>
  </si>
  <si>
    <t>Бюджетные инвестиции в объекты капитального строительства муниципальной собственности</t>
  </si>
  <si>
    <t>414</t>
  </si>
  <si>
    <t>май</t>
  </si>
  <si>
    <t xml:space="preserve">     Приложение № 4 к решению Думы МО Красноуфимский округ"О внесении изменений в решение Думы МО Красноуфимский округ от 19.12.2013 г. № 177 "О бюджете МО Красноуфимский округ на 2014 год и плановый период 2015-2016 годов" от 22.05.2014 г. №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</si>
  <si>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</si>
  <si>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</si>
  <si>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</si>
  <si>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</si>
  <si>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</si>
  <si>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Субсидии некоммерческим организациям (за исключением государственных (муниципальных) учреждений)</t>
  </si>
  <si>
    <t>630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</si>
</sst>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49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>
      <alignment/>
      <protection/>
    </xf>
    <xf numFmtId="49" fontId="2" fillId="0" borderId="10" xfId="56" applyNumberFormat="1" applyBorder="1" applyAlignment="1">
      <alignment horizontal="center"/>
      <protection/>
    </xf>
    <xf numFmtId="49" fontId="4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49" fontId="2" fillId="0" borderId="0" xfId="56" applyNumberFormat="1" applyBorder="1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0" fontId="2" fillId="33" borderId="10" xfId="56" applyFill="1" applyBorder="1">
      <alignment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2" fillId="33" borderId="10" xfId="56" applyNumberFormat="1" applyFont="1" applyFill="1" applyBorder="1">
      <alignment/>
      <protection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0" fontId="2" fillId="33" borderId="0" xfId="56" applyFill="1">
      <alignment/>
      <protection/>
    </xf>
    <xf numFmtId="4" fontId="2" fillId="34" borderId="10" xfId="56" applyNumberFormat="1" applyFont="1" applyFill="1" applyBorder="1">
      <alignment/>
      <protection/>
    </xf>
    <xf numFmtId="0" fontId="2" fillId="34" borderId="10" xfId="57" applyNumberFormat="1" applyFont="1" applyFill="1" applyBorder="1" applyAlignment="1">
      <alignment horizontal="left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2" fillId="34" borderId="10" xfId="56" applyFill="1" applyBorder="1">
      <alignment/>
      <protection/>
    </xf>
    <xf numFmtId="4" fontId="2" fillId="34" borderId="10" xfId="0" applyNumberFormat="1" applyFont="1" applyFill="1" applyBorder="1" applyAlignment="1">
      <alignment horizontal="right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4" fillId="34" borderId="10" xfId="56" applyNumberFormat="1" applyFont="1" applyFill="1" applyBorder="1" applyAlignment="1">
      <alignment horizontal="center" vertical="top" wrapText="1"/>
      <protection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" fontId="2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" fontId="2" fillId="34" borderId="12" xfId="56" applyNumberFormat="1" applyFont="1" applyFill="1" applyBorder="1">
      <alignment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" fontId="2" fillId="34" borderId="10" xfId="56" applyNumberFormat="1" applyFont="1" applyFill="1" applyBorder="1" applyAlignment="1">
      <alignment horizontal="center" vertical="top" wrapText="1"/>
      <protection/>
    </xf>
    <xf numFmtId="49" fontId="2" fillId="0" borderId="0" xfId="56" applyNumberFormat="1" applyFont="1" applyBorder="1" applyAlignment="1">
      <alignment horizontal="left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34" borderId="10" xfId="56" applyNumberFormat="1" applyFont="1" applyFill="1" applyBorder="1" applyAlignment="1">
      <alignment horizontal="left" vertical="top" wrapText="1"/>
      <protection/>
    </xf>
    <xf numFmtId="0" fontId="9" fillId="34" borderId="10" xfId="0" applyFont="1" applyFill="1" applyBorder="1" applyAlignment="1">
      <alignment horizontal="left" vertical="top" wrapText="1"/>
    </xf>
    <xf numFmtId="49" fontId="4" fillId="34" borderId="10" xfId="56" applyNumberFormat="1" applyFont="1" applyFill="1" applyBorder="1" applyAlignment="1">
      <alignment horizontal="left" vertical="top" wrapText="1"/>
      <protection/>
    </xf>
    <xf numFmtId="49" fontId="2" fillId="34" borderId="10" xfId="56" applyNumberFormat="1" applyFont="1" applyFill="1" applyBorder="1" applyAlignment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wrapText="1"/>
    </xf>
    <xf numFmtId="0" fontId="2" fillId="34" borderId="10" xfId="56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wrapText="1"/>
    </xf>
    <xf numFmtId="4" fontId="2" fillId="34" borderId="10" xfId="56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9" fillId="0" borderId="10" xfId="0" applyFont="1" applyBorder="1" applyAlignment="1">
      <alignment wrapText="1"/>
    </xf>
    <xf numFmtId="49" fontId="2" fillId="34" borderId="10" xfId="56" applyNumberFormat="1" applyFont="1" applyFill="1" applyBorder="1" applyAlignment="1">
      <alignment vertical="top" wrapText="1"/>
      <protection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Border="1" applyAlignment="1">
      <alignment horizontal="justify"/>
    </xf>
    <xf numFmtId="0" fontId="2" fillId="34" borderId="10" xfId="0" applyNumberFormat="1" applyFont="1" applyFill="1" applyBorder="1" applyAlignment="1">
      <alignment horizontal="justify" vertical="top"/>
    </xf>
    <xf numFmtId="0" fontId="0" fillId="34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4" fontId="2" fillId="34" borderId="12" xfId="0" applyNumberFormat="1" applyFont="1" applyFill="1" applyBorder="1" applyAlignment="1">
      <alignment horizontal="right"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justify" wrapText="1"/>
    </xf>
    <xf numFmtId="0" fontId="4" fillId="3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56" applyFill="1" applyBorder="1">
      <alignment/>
      <protection/>
    </xf>
    <xf numFmtId="2" fontId="2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9" fontId="2" fillId="35" borderId="10" xfId="54" applyNumberFormat="1" applyFont="1" applyFill="1" applyBorder="1" applyAlignment="1">
      <alignment horizontal="left" vertical="top"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49" fontId="2" fillId="0" borderId="10" xfId="56" applyNumberFormat="1" applyFont="1" applyFill="1" applyBorder="1" applyAlignment="1">
      <alignment vertical="top" wrapText="1"/>
      <protection/>
    </xf>
    <xf numFmtId="0" fontId="2" fillId="34" borderId="10" xfId="56" applyFont="1" applyFill="1" applyBorder="1">
      <alignment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3" xfId="56" applyFill="1" applyBorder="1">
      <alignment/>
      <protection/>
    </xf>
    <xf numFmtId="49" fontId="2" fillId="0" borderId="10" xfId="56" applyNumberFormat="1" applyFont="1" applyBorder="1">
      <alignment/>
      <protection/>
    </xf>
    <xf numFmtId="0" fontId="2" fillId="0" borderId="10" xfId="56" applyBorder="1">
      <alignment/>
      <protection/>
    </xf>
    <xf numFmtId="49" fontId="2" fillId="34" borderId="14" xfId="56" applyNumberFormat="1" applyFont="1" applyFill="1" applyBorder="1" applyAlignment="1">
      <alignment horizontal="center" vertical="top" wrapText="1"/>
      <protection/>
    </xf>
    <xf numFmtId="2" fontId="2" fillId="34" borderId="10" xfId="56" applyNumberFormat="1" applyFont="1" applyFill="1" applyBorder="1" applyAlignment="1">
      <alignment horizontal="right"/>
      <protection/>
    </xf>
    <xf numFmtId="2" fontId="2" fillId="34" borderId="0" xfId="0" applyNumberFormat="1" applyFont="1" applyFill="1" applyAlignment="1">
      <alignment/>
    </xf>
    <xf numFmtId="2" fontId="10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49" fontId="2" fillId="34" borderId="14" xfId="56" applyNumberFormat="1" applyFont="1" applyFill="1" applyBorder="1" applyAlignment="1">
      <alignment vertical="top" wrapText="1"/>
      <protection/>
    </xf>
    <xf numFmtId="4" fontId="2" fillId="34" borderId="14" xfId="56" applyNumberFormat="1" applyFont="1" applyFill="1" applyBorder="1" applyAlignment="1">
      <alignment horizontal="right"/>
      <protection/>
    </xf>
    <xf numFmtId="2" fontId="2" fillId="34" borderId="14" xfId="56" applyNumberFormat="1" applyFont="1" applyFill="1" applyBorder="1" applyAlignment="1">
      <alignment horizontal="right"/>
      <protection/>
    </xf>
    <xf numFmtId="2" fontId="2" fillId="34" borderId="14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0" borderId="0" xfId="56" applyNumberFormat="1" applyFont="1" applyFill="1">
      <alignment/>
      <protection/>
    </xf>
    <xf numFmtId="2" fontId="2" fillId="34" borderId="13" xfId="56" applyNumberFormat="1" applyFont="1" applyFill="1" applyBorder="1">
      <alignment/>
      <protection/>
    </xf>
    <xf numFmtId="2" fontId="2" fillId="34" borderId="10" xfId="56" applyNumberFormat="1" applyFont="1" applyFill="1" applyBorder="1">
      <alignment/>
      <protection/>
    </xf>
    <xf numFmtId="2" fontId="2" fillId="34" borderId="10" xfId="0" applyNumberFormat="1" applyFont="1" applyFill="1" applyBorder="1" applyAlignment="1">
      <alignment horizontal="right"/>
    </xf>
    <xf numFmtId="2" fontId="2" fillId="33" borderId="10" xfId="56" applyNumberFormat="1" applyFont="1" applyFill="1" applyBorder="1">
      <alignment/>
      <protection/>
    </xf>
    <xf numFmtId="2" fontId="10" fillId="34" borderId="10" xfId="56" applyNumberFormat="1" applyFont="1" applyFill="1" applyBorder="1">
      <alignment/>
      <protection/>
    </xf>
    <xf numFmtId="2" fontId="10" fillId="0" borderId="0" xfId="56" applyNumberFormat="1" applyFont="1">
      <alignment/>
      <protection/>
    </xf>
    <xf numFmtId="2" fontId="2" fillId="0" borderId="10" xfId="56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right"/>
    </xf>
    <xf numFmtId="2" fontId="10" fillId="0" borderId="10" xfId="56" applyNumberFormat="1" applyFont="1" applyBorder="1">
      <alignment/>
      <protection/>
    </xf>
    <xf numFmtId="2" fontId="2" fillId="0" borderId="0" xfId="56" applyNumberFormat="1" applyFont="1">
      <alignment/>
      <protection/>
    </xf>
    <xf numFmtId="2" fontId="2" fillId="0" borderId="10" xfId="56" applyNumberFormat="1" applyFont="1" applyBorder="1">
      <alignment/>
      <protection/>
    </xf>
    <xf numFmtId="2" fontId="2" fillId="34" borderId="12" xfId="56" applyNumberFormat="1" applyFont="1" applyFill="1" applyBorder="1">
      <alignment/>
      <protection/>
    </xf>
    <xf numFmtId="2" fontId="2" fillId="34" borderId="12" xfId="0" applyNumberFormat="1" applyFont="1" applyFill="1" applyBorder="1" applyAlignment="1">
      <alignment horizontal="right"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2" fontId="2" fillId="33" borderId="0" xfId="56" applyNumberFormat="1" applyFont="1" applyFill="1">
      <alignment/>
      <protection/>
    </xf>
    <xf numFmtId="2" fontId="2" fillId="0" borderId="0" xfId="0" applyNumberFormat="1" applyFont="1" applyAlignment="1">
      <alignment/>
    </xf>
    <xf numFmtId="2" fontId="1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9" fontId="9" fillId="35" borderId="10" xfId="53" applyNumberFormat="1" applyFont="1" applyFill="1" applyBorder="1" applyAlignment="1">
      <alignment horizontal="left" vertical="top" wrapText="1"/>
      <protection/>
    </xf>
    <xf numFmtId="49" fontId="9" fillId="35" borderId="10" xfId="55" applyNumberFormat="1" applyFont="1" applyFill="1" applyBorder="1" applyAlignment="1">
      <alignment horizontal="left" vertical="top" wrapText="1"/>
      <protection/>
    </xf>
    <xf numFmtId="2" fontId="2" fillId="34" borderId="0" xfId="56" applyNumberFormat="1" applyFont="1" applyFill="1">
      <alignment/>
      <protection/>
    </xf>
    <xf numFmtId="0" fontId="2" fillId="0" borderId="0" xfId="56" applyFont="1">
      <alignment/>
      <protection/>
    </xf>
    <xf numFmtId="0" fontId="4" fillId="34" borderId="10" xfId="56" applyFont="1" applyFill="1" applyBorder="1">
      <alignment/>
      <protection/>
    </xf>
    <xf numFmtId="2" fontId="4" fillId="34" borderId="10" xfId="56" applyNumberFormat="1" applyFont="1" applyFill="1" applyBorder="1">
      <alignment/>
      <protection/>
    </xf>
    <xf numFmtId="0" fontId="4" fillId="0" borderId="0" xfId="56" applyFont="1">
      <alignment/>
      <protection/>
    </xf>
    <xf numFmtId="4" fontId="2" fillId="34" borderId="15" xfId="0" applyNumberFormat="1" applyFont="1" applyFill="1" applyBorder="1" applyAlignment="1">
      <alignment horizontal="right"/>
    </xf>
    <xf numFmtId="0" fontId="0" fillId="34" borderId="14" xfId="0" applyFill="1" applyBorder="1" applyAlignment="1">
      <alignment/>
    </xf>
    <xf numFmtId="2" fontId="2" fillId="34" borderId="15" xfId="0" applyNumberFormat="1" applyFont="1" applyFill="1" applyBorder="1" applyAlignment="1">
      <alignment horizontal="right"/>
    </xf>
    <xf numFmtId="0" fontId="2" fillId="0" borderId="12" xfId="56" applyFill="1" applyBorder="1">
      <alignment/>
      <protection/>
    </xf>
    <xf numFmtId="2" fontId="2" fillId="34" borderId="12" xfId="56" applyNumberFormat="1" applyFont="1" applyFill="1" applyBorder="1" applyAlignment="1">
      <alignment horizontal="center" vertical="center" wrapText="1"/>
      <protection/>
    </xf>
    <xf numFmtId="4" fontId="2" fillId="34" borderId="16" xfId="56" applyNumberFormat="1" applyFont="1" applyFill="1" applyBorder="1">
      <alignment/>
      <protection/>
    </xf>
    <xf numFmtId="4" fontId="2" fillId="33" borderId="12" xfId="56" applyNumberFormat="1" applyFont="1" applyFill="1" applyBorder="1">
      <alignment/>
      <protection/>
    </xf>
    <xf numFmtId="4" fontId="2" fillId="34" borderId="12" xfId="0" applyNumberFormat="1" applyFont="1" applyFill="1" applyBorder="1" applyAlignment="1">
      <alignment horizontal="right"/>
    </xf>
    <xf numFmtId="4" fontId="2" fillId="0" borderId="12" xfId="56" applyNumberFormat="1" applyFont="1" applyFill="1" applyBorder="1">
      <alignment/>
      <protection/>
    </xf>
    <xf numFmtId="4" fontId="2" fillId="33" borderId="12" xfId="0" applyNumberFormat="1" applyFont="1" applyFill="1" applyBorder="1" applyAlignment="1">
      <alignment horizontal="right"/>
    </xf>
    <xf numFmtId="4" fontId="2" fillId="33" borderId="12" xfId="56" applyNumberFormat="1" applyFont="1" applyFill="1" applyBorder="1">
      <alignment/>
      <protection/>
    </xf>
    <xf numFmtId="4" fontId="2" fillId="33" borderId="12" xfId="56" applyNumberFormat="1" applyFont="1" applyFill="1" applyBorder="1">
      <alignment/>
      <protection/>
    </xf>
    <xf numFmtId="4" fontId="2" fillId="0" borderId="12" xfId="0" applyNumberFormat="1" applyFont="1" applyFill="1" applyBorder="1" applyAlignment="1">
      <alignment horizontal="right"/>
    </xf>
    <xf numFmtId="4" fontId="2" fillId="0" borderId="12" xfId="56" applyNumberFormat="1" applyFont="1" applyFill="1" applyBorder="1">
      <alignment/>
      <protection/>
    </xf>
    <xf numFmtId="4" fontId="2" fillId="34" borderId="12" xfId="56" applyNumberFormat="1" applyFont="1" applyFill="1" applyBorder="1">
      <alignment/>
      <protection/>
    </xf>
    <xf numFmtId="4" fontId="2" fillId="34" borderId="12" xfId="56" applyNumberFormat="1" applyFont="1" applyFill="1" applyBorder="1" applyAlignment="1">
      <alignment horizontal="right"/>
      <protection/>
    </xf>
    <xf numFmtId="4" fontId="4" fillId="34" borderId="12" xfId="56" applyNumberFormat="1" applyFont="1" applyFill="1" applyBorder="1">
      <alignment/>
      <protection/>
    </xf>
    <xf numFmtId="4" fontId="2" fillId="34" borderId="15" xfId="56" applyNumberFormat="1" applyFont="1" applyFill="1" applyBorder="1" applyAlignment="1">
      <alignment horizontal="right"/>
      <protection/>
    </xf>
    <xf numFmtId="2" fontId="2" fillId="0" borderId="0" xfId="56" applyNumberFormat="1" applyFont="1" applyFill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56" applyNumberFormat="1" applyFont="1" applyFill="1" applyBorder="1" applyAlignment="1">
      <alignment horizontal="center" vertical="top" wrapText="1"/>
      <protection/>
    </xf>
    <xf numFmtId="4" fontId="4" fillId="36" borderId="12" xfId="56" applyNumberFormat="1" applyFont="1" applyFill="1" applyBorder="1">
      <alignment/>
      <protection/>
    </xf>
    <xf numFmtId="0" fontId="4" fillId="36" borderId="10" xfId="56" applyFont="1" applyFill="1" applyBorder="1">
      <alignment/>
      <protection/>
    </xf>
    <xf numFmtId="2" fontId="4" fillId="36" borderId="10" xfId="56" applyNumberFormat="1" applyFont="1" applyFill="1" applyBorder="1">
      <alignment/>
      <protection/>
    </xf>
    <xf numFmtId="2" fontId="4" fillId="36" borderId="0" xfId="56" applyNumberFormat="1" applyFont="1" applyFill="1">
      <alignment/>
      <protection/>
    </xf>
    <xf numFmtId="49" fontId="2" fillId="36" borderId="10" xfId="56" applyNumberFormat="1" applyFont="1" applyFill="1" applyBorder="1" applyAlignment="1">
      <alignment horizontal="left"/>
      <protection/>
    </xf>
    <xf numFmtId="49" fontId="2" fillId="36" borderId="10" xfId="56" applyNumberFormat="1" applyFill="1" applyBorder="1">
      <alignment/>
      <protection/>
    </xf>
    <xf numFmtId="49" fontId="2" fillId="36" borderId="10" xfId="56" applyNumberFormat="1" applyFill="1" applyBorder="1" applyAlignment="1">
      <alignment horizontal="center"/>
      <protection/>
    </xf>
    <xf numFmtId="0" fontId="2" fillId="36" borderId="12" xfId="56" applyFill="1" applyBorder="1">
      <alignment/>
      <protection/>
    </xf>
    <xf numFmtId="0" fontId="2" fillId="36" borderId="10" xfId="56" applyFill="1" applyBorder="1">
      <alignment/>
      <protection/>
    </xf>
    <xf numFmtId="2" fontId="2" fillId="36" borderId="10" xfId="56" applyNumberFormat="1" applyFont="1" applyFill="1" applyBorder="1">
      <alignment/>
      <protection/>
    </xf>
    <xf numFmtId="49" fontId="2" fillId="37" borderId="10" xfId="0" applyNumberFormat="1" applyFont="1" applyFill="1" applyBorder="1" applyAlignment="1">
      <alignment horizontal="center" vertical="top" wrapText="1"/>
    </xf>
    <xf numFmtId="4" fontId="2" fillId="37" borderId="12" xfId="0" applyNumberFormat="1" applyFont="1" applyFill="1" applyBorder="1" applyAlignment="1">
      <alignment horizontal="right"/>
    </xf>
    <xf numFmtId="2" fontId="0" fillId="37" borderId="10" xfId="0" applyNumberForma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right"/>
    </xf>
    <xf numFmtId="2" fontId="2" fillId="37" borderId="0" xfId="56" applyNumberFormat="1" applyFont="1" applyFill="1">
      <alignment/>
      <protection/>
    </xf>
    <xf numFmtId="4" fontId="2" fillId="37" borderId="10" xfId="0" applyNumberFormat="1" applyFont="1" applyFill="1" applyBorder="1" applyAlignment="1">
      <alignment horizontal="center" vertical="top" wrapText="1"/>
    </xf>
    <xf numFmtId="2" fontId="2" fillId="34" borderId="13" xfId="56" applyNumberFormat="1" applyFont="1" applyFill="1" applyBorder="1" applyAlignment="1">
      <alignment horizontal="right"/>
      <protection/>
    </xf>
    <xf numFmtId="0" fontId="2" fillId="0" borderId="10" xfId="56" applyFont="1" applyBorder="1">
      <alignment/>
      <protection/>
    </xf>
    <xf numFmtId="0" fontId="4" fillId="0" borderId="10" xfId="56" applyFont="1" applyBorder="1">
      <alignment/>
      <protection/>
    </xf>
    <xf numFmtId="49" fontId="2" fillId="38" borderId="10" xfId="54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Border="1" applyAlignment="1">
      <alignment horizontal="left"/>
      <protection/>
    </xf>
    <xf numFmtId="4" fontId="4" fillId="36" borderId="10" xfId="56" applyNumberFormat="1" applyFont="1" applyFill="1" applyBorder="1">
      <alignment/>
      <protection/>
    </xf>
    <xf numFmtId="4" fontId="2" fillId="0" borderId="10" xfId="56" applyNumberFormat="1" applyBorder="1">
      <alignment/>
      <protection/>
    </xf>
    <xf numFmtId="0" fontId="2" fillId="0" borderId="13" xfId="56" applyBorder="1">
      <alignment/>
      <protection/>
    </xf>
    <xf numFmtId="0" fontId="4" fillId="0" borderId="10" xfId="56" applyFont="1" applyBorder="1" applyAlignment="1">
      <alignment vertical="top" wrapText="1"/>
      <protection/>
    </xf>
    <xf numFmtId="2" fontId="4" fillId="0" borderId="0" xfId="56" applyNumberFormat="1" applyFont="1" applyAlignment="1">
      <alignment horizontal="center"/>
      <protection/>
    </xf>
    <xf numFmtId="49" fontId="4" fillId="34" borderId="13" xfId="56" applyNumberFormat="1" applyFont="1" applyFill="1" applyBorder="1" applyAlignment="1">
      <alignment horizontal="center" vertical="top" wrapText="1"/>
      <protection/>
    </xf>
    <xf numFmtId="2" fontId="4" fillId="34" borderId="16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/>
      <protection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2" fontId="4" fillId="0" borderId="13" xfId="56" applyNumberFormat="1" applyFont="1" applyBorder="1" applyAlignment="1">
      <alignment horizontal="center"/>
      <protection/>
    </xf>
    <xf numFmtId="2" fontId="4" fillId="0" borderId="13" xfId="56" applyNumberFormat="1" applyFont="1" applyBorder="1" applyAlignment="1">
      <alignment horizontal="center" vertical="top" wrapText="1"/>
      <protection/>
    </xf>
    <xf numFmtId="0" fontId="4" fillId="0" borderId="13" xfId="56" applyFont="1" applyBorder="1" applyAlignment="1">
      <alignment horizontal="center" vertical="top" wrapText="1"/>
      <protection/>
    </xf>
    <xf numFmtId="43" fontId="13" fillId="36" borderId="10" xfId="65" applyFont="1" applyFill="1" applyBorder="1" applyAlignment="1">
      <alignment horizontal="right"/>
    </xf>
    <xf numFmtId="43" fontId="13" fillId="0" borderId="10" xfId="65" applyFont="1" applyBorder="1" applyAlignment="1">
      <alignment horizontal="right"/>
    </xf>
    <xf numFmtId="43" fontId="13" fillId="0" borderId="10" xfId="65" applyFont="1" applyFill="1" applyBorder="1" applyAlignment="1">
      <alignment/>
    </xf>
    <xf numFmtId="43" fontId="13" fillId="0" borderId="10" xfId="65" applyFont="1" applyBorder="1" applyAlignment="1">
      <alignment/>
    </xf>
    <xf numFmtId="2" fontId="2" fillId="0" borderId="10" xfId="56" applyNumberFormat="1" applyFont="1" applyBorder="1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wrapText="1"/>
    </xf>
    <xf numFmtId="2" fontId="2" fillId="0" borderId="10" xfId="56" applyNumberFormat="1" applyBorder="1">
      <alignment/>
      <protection/>
    </xf>
    <xf numFmtId="49" fontId="4" fillId="33" borderId="17" xfId="56" applyNumberFormat="1" applyFont="1" applyFill="1" applyBorder="1" applyAlignment="1">
      <alignment horizontal="center" vertical="top" wrapText="1"/>
      <protection/>
    </xf>
    <xf numFmtId="49" fontId="4" fillId="33" borderId="18" xfId="56" applyNumberFormat="1" applyFont="1" applyFill="1" applyBorder="1" applyAlignment="1">
      <alignment horizontal="center" vertical="top" wrapText="1"/>
      <protection/>
    </xf>
    <xf numFmtId="49" fontId="4" fillId="33" borderId="19" xfId="56" applyNumberFormat="1" applyFont="1" applyFill="1" applyBorder="1" applyAlignment="1">
      <alignment horizontal="center" vertical="top" wrapText="1"/>
      <protection/>
    </xf>
    <xf numFmtId="49" fontId="4" fillId="33" borderId="0" xfId="56" applyNumberFormat="1" applyFont="1" applyFill="1" applyBorder="1" applyAlignment="1">
      <alignment horizontal="center" vertical="top" wrapText="1"/>
      <protection/>
    </xf>
    <xf numFmtId="49" fontId="4" fillId="33" borderId="20" xfId="56" applyNumberFormat="1" applyFont="1" applyFill="1" applyBorder="1" applyAlignment="1">
      <alignment horizontal="center" vertical="top" wrapText="1"/>
      <protection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2" fontId="2" fillId="0" borderId="10" xfId="56" applyNumberFormat="1" applyFont="1" applyBorder="1" applyAlignment="1">
      <alignment horizontal="center"/>
      <protection/>
    </xf>
    <xf numFmtId="2" fontId="2" fillId="34" borderId="14" xfId="56" applyNumberFormat="1" applyFont="1" applyFill="1" applyBorder="1" applyAlignment="1">
      <alignment horizontal="right"/>
      <protection/>
    </xf>
    <xf numFmtId="2" fontId="2" fillId="34" borderId="13" xfId="56" applyNumberFormat="1" applyFont="1" applyFill="1" applyBorder="1" applyAlignment="1">
      <alignment horizontal="right"/>
      <protection/>
    </xf>
    <xf numFmtId="2" fontId="4" fillId="33" borderId="14" xfId="56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2" fillId="0" borderId="14" xfId="56" applyBorder="1" applyAlignment="1">
      <alignment horizontal="center"/>
      <protection/>
    </xf>
    <xf numFmtId="0" fontId="2" fillId="0" borderId="13" xfId="56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49" fontId="2" fillId="0" borderId="0" xfId="56" applyNumberFormat="1" applyFont="1" applyFill="1" applyBorder="1" applyAlignment="1">
      <alignment horizont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top" wrapText="1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4" borderId="14" xfId="56" applyNumberFormat="1" applyFont="1" applyFill="1" applyBorder="1" applyAlignment="1">
      <alignment horizontal="center" vertical="top" wrapText="1"/>
      <protection/>
    </xf>
    <xf numFmtId="49" fontId="2" fillId="34" borderId="13" xfId="56" applyNumberFormat="1" applyFont="1" applyFill="1" applyBorder="1" applyAlignment="1">
      <alignment horizontal="center" vertical="top" wrapText="1"/>
      <protection/>
    </xf>
    <xf numFmtId="2" fontId="7" fillId="0" borderId="21" xfId="0" applyNumberFormat="1" applyFont="1" applyBorder="1" applyAlignment="1">
      <alignment horizontal="center" vertical="top" wrapText="1"/>
    </xf>
    <xf numFmtId="4" fontId="4" fillId="33" borderId="14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F8" sqref="F8"/>
    </sheetView>
  </sheetViews>
  <sheetFormatPr defaultColWidth="9.00390625" defaultRowHeight="12.75"/>
  <sheetData>
    <row r="1" spans="1:15" ht="15.75">
      <c r="A1" s="211" t="s">
        <v>174</v>
      </c>
      <c r="B1" s="212"/>
      <c r="C1" s="212"/>
      <c r="D1" s="212"/>
      <c r="E1" s="212"/>
      <c r="F1" s="20"/>
      <c r="G1" s="20"/>
      <c r="H1" s="128"/>
      <c r="I1" s="123"/>
      <c r="J1" s="123"/>
      <c r="K1" s="123"/>
      <c r="L1" s="123"/>
      <c r="M1" s="123"/>
      <c r="N1" s="124"/>
      <c r="O1" s="124"/>
    </row>
    <row r="2" spans="1:15" ht="15.75">
      <c r="A2" s="213"/>
      <c r="B2" s="214"/>
      <c r="C2" s="214"/>
      <c r="D2" s="214"/>
      <c r="E2" s="214"/>
      <c r="F2" s="20"/>
      <c r="G2" s="20"/>
      <c r="H2" s="128"/>
      <c r="I2" s="123"/>
      <c r="J2" s="123"/>
      <c r="K2" s="123"/>
      <c r="L2" s="123"/>
      <c r="M2" s="123"/>
      <c r="N2" s="124"/>
      <c r="O2" s="124"/>
    </row>
    <row r="3" spans="1:15" ht="15.75">
      <c r="A3" s="213"/>
      <c r="B3" s="214"/>
      <c r="C3" s="214"/>
      <c r="D3" s="214"/>
      <c r="E3" s="214"/>
      <c r="F3" s="20"/>
      <c r="G3" s="20"/>
      <c r="H3" s="128"/>
      <c r="I3" s="123"/>
      <c r="J3" s="123"/>
      <c r="K3" s="123"/>
      <c r="L3" s="123"/>
      <c r="M3" s="123"/>
      <c r="N3" s="124"/>
      <c r="O3" s="124"/>
    </row>
    <row r="4" spans="1:15" ht="15.75">
      <c r="A4" s="215"/>
      <c r="B4" s="216"/>
      <c r="C4" s="216"/>
      <c r="D4" s="216"/>
      <c r="E4" s="216"/>
      <c r="F4" s="20"/>
      <c r="G4" s="20"/>
      <c r="H4" s="128"/>
      <c r="I4" s="123"/>
      <c r="J4" s="123"/>
      <c r="K4" s="123"/>
      <c r="L4" s="123"/>
      <c r="M4" s="123"/>
      <c r="N4" s="124"/>
      <c r="O4" s="124"/>
    </row>
    <row r="5" spans="1:15" ht="63">
      <c r="A5" s="61" t="s">
        <v>29</v>
      </c>
      <c r="B5" s="29" t="s">
        <v>30</v>
      </c>
      <c r="C5" s="29" t="s">
        <v>99</v>
      </c>
      <c r="D5" s="29" t="s">
        <v>100</v>
      </c>
      <c r="E5" s="29" t="s">
        <v>101</v>
      </c>
      <c r="F5" s="81" t="s">
        <v>102</v>
      </c>
      <c r="G5" s="27"/>
      <c r="H5" s="127" t="s">
        <v>102</v>
      </c>
      <c r="I5" s="123"/>
      <c r="J5" s="123"/>
      <c r="K5" s="123"/>
      <c r="L5" s="123"/>
      <c r="M5" s="123"/>
      <c r="N5" s="124"/>
      <c r="O5" s="124"/>
    </row>
    <row r="6" spans="1:15" ht="78.75">
      <c r="A6" s="62" t="s">
        <v>31</v>
      </c>
      <c r="B6" s="23" t="s">
        <v>32</v>
      </c>
      <c r="C6" s="26" t="s">
        <v>32</v>
      </c>
      <c r="D6" s="23"/>
      <c r="E6" s="23"/>
      <c r="F6" s="21" t="e">
        <f>#REF!+#REF!</f>
        <v>#REF!</v>
      </c>
      <c r="G6" s="27"/>
      <c r="H6" s="115">
        <f>H10</f>
        <v>280600</v>
      </c>
      <c r="I6" s="123"/>
      <c r="J6" s="123"/>
      <c r="K6" s="123"/>
      <c r="L6" s="123"/>
      <c r="M6" s="123"/>
      <c r="N6" s="124">
        <f>N10</f>
        <v>296000</v>
      </c>
      <c r="O6" s="124">
        <f>O10+O7</f>
        <v>317500</v>
      </c>
    </row>
    <row r="7" spans="1:15" ht="15.75">
      <c r="A7" s="112"/>
      <c r="B7" s="14"/>
      <c r="C7" s="18" t="s">
        <v>107</v>
      </c>
      <c r="D7" s="18" t="s">
        <v>394</v>
      </c>
      <c r="E7" s="14"/>
      <c r="F7" s="16"/>
      <c r="G7" s="13"/>
      <c r="H7" s="117">
        <v>0</v>
      </c>
      <c r="I7" s="123"/>
      <c r="J7" s="123"/>
      <c r="K7" s="123"/>
      <c r="L7" s="123"/>
      <c r="M7" s="123"/>
      <c r="N7" s="124">
        <v>0</v>
      </c>
      <c r="O7" s="124">
        <f>O8</f>
        <v>16900</v>
      </c>
    </row>
    <row r="8" spans="1:15" ht="330.75">
      <c r="A8" s="50" t="s">
        <v>476</v>
      </c>
      <c r="B8" s="23"/>
      <c r="C8" s="24" t="s">
        <v>107</v>
      </c>
      <c r="D8" s="24" t="s">
        <v>475</v>
      </c>
      <c r="E8" s="23"/>
      <c r="F8" s="21"/>
      <c r="G8" s="27"/>
      <c r="H8" s="115">
        <v>0</v>
      </c>
      <c r="I8" s="123"/>
      <c r="J8" s="123"/>
      <c r="K8" s="123"/>
      <c r="L8" s="123"/>
      <c r="M8" s="123"/>
      <c r="N8" s="124">
        <v>0</v>
      </c>
      <c r="O8" s="124">
        <f>O9</f>
        <v>16900</v>
      </c>
    </row>
    <row r="9" spans="1:15" ht="141.75">
      <c r="A9" s="41" t="s">
        <v>161</v>
      </c>
      <c r="B9" s="23"/>
      <c r="C9" s="24" t="s">
        <v>107</v>
      </c>
      <c r="D9" s="24" t="s">
        <v>475</v>
      </c>
      <c r="E9" s="24" t="s">
        <v>136</v>
      </c>
      <c r="F9" s="21"/>
      <c r="G9" s="27"/>
      <c r="H9" s="115">
        <v>0</v>
      </c>
      <c r="I9" s="123"/>
      <c r="J9" s="123"/>
      <c r="K9" s="123"/>
      <c r="L9" s="123"/>
      <c r="M9" s="123"/>
      <c r="N9" s="124">
        <v>0</v>
      </c>
      <c r="O9" s="124">
        <v>16900</v>
      </c>
    </row>
    <row r="10" spans="1:15" ht="393.75">
      <c r="A10" s="57" t="s">
        <v>379</v>
      </c>
      <c r="B10" s="17"/>
      <c r="C10" s="23" t="s">
        <v>113</v>
      </c>
      <c r="D10" s="24" t="s">
        <v>381</v>
      </c>
      <c r="E10" s="23"/>
      <c r="F10" s="21"/>
      <c r="G10" s="27"/>
      <c r="H10" s="115">
        <f>H11+H13+H16</f>
        <v>280600</v>
      </c>
      <c r="I10" s="123"/>
      <c r="J10" s="123"/>
      <c r="K10" s="123"/>
      <c r="L10" s="123"/>
      <c r="M10" s="123"/>
      <c r="N10" s="124">
        <f>N11+N13+N16</f>
        <v>296000</v>
      </c>
      <c r="O10" s="124">
        <f>O11+O13+O16</f>
        <v>300600</v>
      </c>
    </row>
    <row r="11" spans="1:15" ht="409.5">
      <c r="A11" s="41" t="s">
        <v>127</v>
      </c>
      <c r="B11" s="23" t="s">
        <v>110</v>
      </c>
      <c r="C11" s="23" t="s">
        <v>113</v>
      </c>
      <c r="D11" s="24" t="s">
        <v>407</v>
      </c>
      <c r="E11" s="23"/>
      <c r="F11" s="21" t="e">
        <f>#REF!+F12</f>
        <v>#REF!</v>
      </c>
      <c r="G11" s="27"/>
      <c r="H11" s="115">
        <f>H12</f>
        <v>100</v>
      </c>
      <c r="I11" s="123"/>
      <c r="J11" s="123"/>
      <c r="K11" s="123"/>
      <c r="L11" s="123"/>
      <c r="M11" s="123"/>
      <c r="N11" s="124">
        <f>N12</f>
        <v>100</v>
      </c>
      <c r="O11" s="124">
        <f>O12</f>
        <v>100</v>
      </c>
    </row>
    <row r="12" spans="1:15" ht="141.75">
      <c r="A12" s="41" t="s">
        <v>161</v>
      </c>
      <c r="B12" s="23"/>
      <c r="C12" s="23" t="s">
        <v>113</v>
      </c>
      <c r="D12" s="24" t="s">
        <v>407</v>
      </c>
      <c r="E12" s="23" t="s">
        <v>136</v>
      </c>
      <c r="F12" s="21">
        <v>0</v>
      </c>
      <c r="G12" s="78">
        <v>100</v>
      </c>
      <c r="H12" s="118">
        <f>F12+G12</f>
        <v>100</v>
      </c>
      <c r="I12" s="119"/>
      <c r="J12" s="119"/>
      <c r="K12" s="119"/>
      <c r="L12" s="119"/>
      <c r="M12" s="119"/>
      <c r="N12" s="118">
        <v>100</v>
      </c>
      <c r="O12" s="118">
        <v>100</v>
      </c>
    </row>
    <row r="13" spans="1:15" ht="220.5">
      <c r="A13" s="41" t="s">
        <v>126</v>
      </c>
      <c r="B13" s="23" t="s">
        <v>110</v>
      </c>
      <c r="C13" s="23" t="s">
        <v>113</v>
      </c>
      <c r="D13" s="24" t="s">
        <v>408</v>
      </c>
      <c r="E13" s="23"/>
      <c r="F13" s="21">
        <f>F15</f>
        <v>0</v>
      </c>
      <c r="G13" s="78"/>
      <c r="H13" s="118">
        <f>H14+H15</f>
        <v>87500</v>
      </c>
      <c r="I13" s="119"/>
      <c r="J13" s="119"/>
      <c r="K13" s="119"/>
      <c r="L13" s="119"/>
      <c r="M13" s="119"/>
      <c r="N13" s="118">
        <v>91900</v>
      </c>
      <c r="O13" s="118">
        <v>96500</v>
      </c>
    </row>
    <row r="14" spans="1:15" ht="94.5">
      <c r="A14" s="41" t="s">
        <v>129</v>
      </c>
      <c r="B14" s="23"/>
      <c r="C14" s="23" t="s">
        <v>113</v>
      </c>
      <c r="D14" s="24" t="s">
        <v>408</v>
      </c>
      <c r="E14" s="24" t="s">
        <v>133</v>
      </c>
      <c r="F14" s="21"/>
      <c r="G14" s="78">
        <v>14749</v>
      </c>
      <c r="H14" s="115">
        <v>84212</v>
      </c>
      <c r="I14" s="123"/>
      <c r="J14" s="123"/>
      <c r="K14" s="123"/>
      <c r="L14" s="123"/>
      <c r="M14" s="123"/>
      <c r="N14" s="124">
        <v>88200</v>
      </c>
      <c r="O14" s="124">
        <v>92700</v>
      </c>
    </row>
    <row r="15" spans="1:15" ht="141.75">
      <c r="A15" s="41" t="s">
        <v>161</v>
      </c>
      <c r="B15" s="23" t="s">
        <v>110</v>
      </c>
      <c r="C15" s="23" t="s">
        <v>113</v>
      </c>
      <c r="D15" s="24" t="s">
        <v>408</v>
      </c>
      <c r="E15" s="23" t="s">
        <v>136</v>
      </c>
      <c r="F15" s="21">
        <v>0</v>
      </c>
      <c r="G15" s="78">
        <v>68651</v>
      </c>
      <c r="H15" s="115">
        <v>3288</v>
      </c>
      <c r="I15" s="123"/>
      <c r="J15" s="123"/>
      <c r="K15" s="123"/>
      <c r="L15" s="123"/>
      <c r="M15" s="123"/>
      <c r="N15" s="124">
        <v>3700</v>
      </c>
      <c r="O15" s="124">
        <v>3800</v>
      </c>
    </row>
    <row r="16" spans="1:15" ht="409.5">
      <c r="A16" s="50" t="s">
        <v>106</v>
      </c>
      <c r="B16" s="14"/>
      <c r="C16" s="23" t="s">
        <v>113</v>
      </c>
      <c r="D16" s="24" t="s">
        <v>406</v>
      </c>
      <c r="E16" s="23"/>
      <c r="F16" s="21">
        <f>F17+F18</f>
        <v>0</v>
      </c>
      <c r="G16" s="27"/>
      <c r="H16" s="118">
        <f>H17+H18</f>
        <v>193000</v>
      </c>
      <c r="I16" s="119"/>
      <c r="J16" s="119"/>
      <c r="K16" s="119"/>
      <c r="L16" s="119"/>
      <c r="M16" s="119"/>
      <c r="N16" s="118">
        <f>N17+N18</f>
        <v>204000</v>
      </c>
      <c r="O16" s="118">
        <f>O17+O18</f>
        <v>204000</v>
      </c>
    </row>
    <row r="17" spans="1:15" ht="204.75">
      <c r="A17" s="41" t="s">
        <v>131</v>
      </c>
      <c r="B17" s="12"/>
      <c r="C17" s="29" t="s">
        <v>113</v>
      </c>
      <c r="D17" s="31" t="s">
        <v>406</v>
      </c>
      <c r="E17" s="29" t="s">
        <v>135</v>
      </c>
      <c r="F17" s="21">
        <v>0</v>
      </c>
      <c r="G17" s="27">
        <v>23624</v>
      </c>
      <c r="H17" s="118">
        <v>33000</v>
      </c>
      <c r="I17" s="119"/>
      <c r="J17" s="119"/>
      <c r="K17" s="119"/>
      <c r="L17" s="119"/>
      <c r="M17" s="119"/>
      <c r="N17" s="118">
        <v>35000</v>
      </c>
      <c r="O17" s="118">
        <v>35000</v>
      </c>
    </row>
    <row r="18" spans="1:15" ht="141.75">
      <c r="A18" s="41" t="s">
        <v>161</v>
      </c>
      <c r="B18" s="12"/>
      <c r="C18" s="29" t="s">
        <v>113</v>
      </c>
      <c r="D18" s="31" t="s">
        <v>406</v>
      </c>
      <c r="E18" s="29" t="s">
        <v>136</v>
      </c>
      <c r="F18" s="21">
        <v>0</v>
      </c>
      <c r="G18" s="27">
        <v>168376</v>
      </c>
      <c r="H18" s="118">
        <v>160000</v>
      </c>
      <c r="I18" s="119"/>
      <c r="J18" s="119"/>
      <c r="K18" s="119"/>
      <c r="L18" s="119"/>
      <c r="M18" s="119"/>
      <c r="N18" s="118">
        <v>169000</v>
      </c>
      <c r="O18" s="118">
        <v>169000</v>
      </c>
    </row>
    <row r="19" spans="1:15" ht="141.75">
      <c r="A19" s="41" t="s">
        <v>161</v>
      </c>
      <c r="B19" s="12"/>
      <c r="C19" s="29" t="s">
        <v>113</v>
      </c>
      <c r="D19" s="31" t="s">
        <v>406</v>
      </c>
      <c r="E19" s="29" t="s">
        <v>136</v>
      </c>
      <c r="F19" s="21">
        <v>0</v>
      </c>
      <c r="G19" s="27">
        <v>168376</v>
      </c>
      <c r="H19" s="115">
        <v>160000</v>
      </c>
      <c r="I19" s="123"/>
      <c r="J19" s="123"/>
      <c r="K19" s="123"/>
      <c r="L19" s="123"/>
      <c r="M19" s="123"/>
      <c r="N19" s="124">
        <v>169000</v>
      </c>
      <c r="O19" s="124">
        <v>169000</v>
      </c>
    </row>
    <row r="20" spans="1:15" ht="47.25">
      <c r="A20" s="41" t="s">
        <v>42</v>
      </c>
      <c r="B20" s="23"/>
      <c r="C20" s="26" t="s">
        <v>43</v>
      </c>
      <c r="D20" s="38"/>
      <c r="E20" s="24"/>
      <c r="F20" s="21"/>
      <c r="G20" s="27"/>
      <c r="H20" s="115">
        <f>H21</f>
        <v>1441700</v>
      </c>
      <c r="I20" s="123"/>
      <c r="J20" s="123"/>
      <c r="K20" s="123"/>
      <c r="L20" s="123"/>
      <c r="M20" s="123"/>
      <c r="N20" s="115">
        <f>N21</f>
        <v>1445900</v>
      </c>
      <c r="O20" s="115">
        <f>O21</f>
        <v>1445900</v>
      </c>
    </row>
    <row r="21" spans="1:15" ht="409.5">
      <c r="A21" s="36" t="s">
        <v>213</v>
      </c>
      <c r="B21" s="23"/>
      <c r="C21" s="23" t="s">
        <v>93</v>
      </c>
      <c r="D21" s="37" t="s">
        <v>214</v>
      </c>
      <c r="E21" s="23"/>
      <c r="F21" s="21">
        <f>F25+F23+F24+F22</f>
        <v>0</v>
      </c>
      <c r="G21" s="27"/>
      <c r="H21" s="115">
        <f>H25+H23+H24+H22</f>
        <v>1441700</v>
      </c>
      <c r="I21" s="123"/>
      <c r="J21" s="123"/>
      <c r="K21" s="123"/>
      <c r="L21" s="123"/>
      <c r="M21" s="123"/>
      <c r="N21" s="115">
        <f>N25+N23+N24+N22</f>
        <v>1445900</v>
      </c>
      <c r="O21" s="115">
        <f>O25+O23+O24+O22</f>
        <v>1445900</v>
      </c>
    </row>
    <row r="22" spans="1:15" ht="94.5">
      <c r="A22" s="41" t="s">
        <v>129</v>
      </c>
      <c r="B22" s="23">
        <v>901</v>
      </c>
      <c r="C22" s="23" t="s">
        <v>93</v>
      </c>
      <c r="D22" s="24" t="s">
        <v>415</v>
      </c>
      <c r="E22" s="23" t="s">
        <v>133</v>
      </c>
      <c r="F22" s="32">
        <v>0</v>
      </c>
      <c r="G22" s="27">
        <v>1004500</v>
      </c>
      <c r="H22" s="116">
        <v>1048780</v>
      </c>
      <c r="I22" s="123"/>
      <c r="J22" s="123"/>
      <c r="K22" s="123"/>
      <c r="L22" s="123"/>
      <c r="M22" s="123"/>
      <c r="N22" s="116">
        <v>1048780</v>
      </c>
      <c r="O22" s="116">
        <v>1048780</v>
      </c>
    </row>
    <row r="23" spans="1:15" ht="157.5">
      <c r="A23" s="41" t="s">
        <v>130</v>
      </c>
      <c r="B23" s="23">
        <v>901</v>
      </c>
      <c r="C23" s="23" t="s">
        <v>93</v>
      </c>
      <c r="D23" s="23" t="s">
        <v>94</v>
      </c>
      <c r="E23" s="23" t="s">
        <v>134</v>
      </c>
      <c r="F23" s="32">
        <v>0</v>
      </c>
      <c r="G23" s="27">
        <v>0</v>
      </c>
      <c r="H23" s="116">
        <f>F23+G23</f>
        <v>0</v>
      </c>
      <c r="I23" s="123"/>
      <c r="J23" s="123"/>
      <c r="K23" s="123"/>
      <c r="L23" s="123"/>
      <c r="M23" s="123"/>
      <c r="N23" s="116">
        <f>L23+M23</f>
        <v>0</v>
      </c>
      <c r="O23" s="116">
        <f>M23+N23</f>
        <v>0</v>
      </c>
    </row>
    <row r="24" spans="1:15" ht="204.75">
      <c r="A24" s="41" t="s">
        <v>131</v>
      </c>
      <c r="B24" s="23">
        <v>901</v>
      </c>
      <c r="C24" s="23" t="s">
        <v>93</v>
      </c>
      <c r="D24" s="24" t="s">
        <v>415</v>
      </c>
      <c r="E24" s="23" t="s">
        <v>135</v>
      </c>
      <c r="F24" s="32">
        <v>0</v>
      </c>
      <c r="G24" s="27">
        <v>168250</v>
      </c>
      <c r="H24" s="116">
        <v>62132</v>
      </c>
      <c r="I24" s="123"/>
      <c r="J24" s="123"/>
      <c r="K24" s="123"/>
      <c r="L24" s="123"/>
      <c r="M24" s="123"/>
      <c r="N24" s="116">
        <v>62132</v>
      </c>
      <c r="O24" s="116">
        <v>62132</v>
      </c>
    </row>
    <row r="25" spans="1:15" ht="141.75">
      <c r="A25" s="41" t="s">
        <v>161</v>
      </c>
      <c r="B25" s="23">
        <v>901</v>
      </c>
      <c r="C25" s="23" t="s">
        <v>93</v>
      </c>
      <c r="D25" s="24" t="s">
        <v>415</v>
      </c>
      <c r="E25" s="23" t="s">
        <v>136</v>
      </c>
      <c r="F25" s="32">
        <v>0</v>
      </c>
      <c r="G25" s="27">
        <v>545650</v>
      </c>
      <c r="H25" s="116">
        <v>330788</v>
      </c>
      <c r="I25" s="123"/>
      <c r="J25" s="123"/>
      <c r="K25" s="123"/>
      <c r="L25" s="123"/>
      <c r="M25" s="123"/>
      <c r="N25" s="116">
        <v>334988</v>
      </c>
      <c r="O25" s="116">
        <v>334988</v>
      </c>
    </row>
    <row r="26" spans="1:15" ht="31.5">
      <c r="A26" s="60" t="s">
        <v>69</v>
      </c>
      <c r="B26" s="29" t="s">
        <v>70</v>
      </c>
      <c r="C26" s="30" t="s">
        <v>70</v>
      </c>
      <c r="D26" s="29"/>
      <c r="E26" s="29"/>
      <c r="F26" s="21" t="e">
        <f>F27</f>
        <v>#REF!</v>
      </c>
      <c r="G26" s="27">
        <v>0</v>
      </c>
      <c r="H26" s="115">
        <f>H27</f>
        <v>283878000</v>
      </c>
      <c r="I26" s="123"/>
      <c r="J26" s="123"/>
      <c r="K26" s="123"/>
      <c r="L26" s="123"/>
      <c r="M26" s="123"/>
      <c r="N26" s="124">
        <f>N27</f>
        <v>314515000</v>
      </c>
      <c r="O26" s="124">
        <f>O27</f>
        <v>347768000</v>
      </c>
    </row>
    <row r="27" spans="1:15" ht="220.5">
      <c r="A27" s="41" t="s">
        <v>465</v>
      </c>
      <c r="B27" s="24" t="s">
        <v>116</v>
      </c>
      <c r="C27" s="24" t="s">
        <v>70</v>
      </c>
      <c r="D27" s="24" t="s">
        <v>125</v>
      </c>
      <c r="E27" s="46"/>
      <c r="F27" s="21" t="e">
        <f>#REF!</f>
        <v>#REF!</v>
      </c>
      <c r="G27" s="27"/>
      <c r="H27" s="115">
        <f>H28+H32</f>
        <v>283878000</v>
      </c>
      <c r="I27" s="123"/>
      <c r="J27" s="123"/>
      <c r="K27" s="123"/>
      <c r="L27" s="123"/>
      <c r="M27" s="123"/>
      <c r="N27" s="124">
        <f>N28+N32</f>
        <v>314515000</v>
      </c>
      <c r="O27" s="124">
        <f>O32+O28</f>
        <v>347768000</v>
      </c>
    </row>
    <row r="28" spans="1:15" ht="63">
      <c r="A28" s="41" t="s">
        <v>84</v>
      </c>
      <c r="B28" s="24"/>
      <c r="C28" s="24" t="s">
        <v>85</v>
      </c>
      <c r="D28" s="24"/>
      <c r="E28" s="46"/>
      <c r="F28" s="21"/>
      <c r="G28" s="27"/>
      <c r="H28" s="115">
        <f>H29</f>
        <v>49987000</v>
      </c>
      <c r="I28" s="123"/>
      <c r="J28" s="123"/>
      <c r="K28" s="123"/>
      <c r="L28" s="123"/>
      <c r="M28" s="123"/>
      <c r="N28" s="124">
        <f>N29</f>
        <v>54444000</v>
      </c>
      <c r="O28" s="124">
        <f>O29</f>
        <v>59326000</v>
      </c>
    </row>
    <row r="29" spans="1:15" ht="409.5">
      <c r="A29" s="41" t="s">
        <v>280</v>
      </c>
      <c r="B29" s="24" t="s">
        <v>116</v>
      </c>
      <c r="C29" s="24" t="s">
        <v>85</v>
      </c>
      <c r="D29" s="24" t="s">
        <v>281</v>
      </c>
      <c r="E29" s="24"/>
      <c r="F29" s="28">
        <v>0</v>
      </c>
      <c r="G29" s="47">
        <v>74461823</v>
      </c>
      <c r="H29" s="116">
        <f>H31+H30</f>
        <v>49987000</v>
      </c>
      <c r="I29" s="123"/>
      <c r="J29" s="123"/>
      <c r="K29" s="123"/>
      <c r="L29" s="123"/>
      <c r="M29" s="123"/>
      <c r="N29" s="122">
        <f>N30+N31</f>
        <v>54444000</v>
      </c>
      <c r="O29" s="122">
        <f>O30+O31</f>
        <v>59326000</v>
      </c>
    </row>
    <row r="30" spans="1:15" ht="94.5">
      <c r="A30" s="41" t="s">
        <v>129</v>
      </c>
      <c r="B30" s="24" t="s">
        <v>116</v>
      </c>
      <c r="C30" s="24" t="s">
        <v>85</v>
      </c>
      <c r="D30" s="24" t="s">
        <v>281</v>
      </c>
      <c r="E30" s="24" t="s">
        <v>133</v>
      </c>
      <c r="F30" s="28"/>
      <c r="G30" s="47"/>
      <c r="H30" s="116">
        <v>48695000</v>
      </c>
      <c r="I30" s="123"/>
      <c r="J30" s="123"/>
      <c r="K30" s="123"/>
      <c r="L30" s="123"/>
      <c r="M30" s="123"/>
      <c r="N30" s="122">
        <v>52811000</v>
      </c>
      <c r="O30" s="122">
        <v>57546200</v>
      </c>
    </row>
    <row r="31" spans="1:15" ht="141.75">
      <c r="A31" s="41" t="s">
        <v>161</v>
      </c>
      <c r="B31" s="24" t="s">
        <v>116</v>
      </c>
      <c r="C31" s="24" t="s">
        <v>85</v>
      </c>
      <c r="D31" s="24" t="s">
        <v>281</v>
      </c>
      <c r="E31" s="24" t="s">
        <v>136</v>
      </c>
      <c r="F31" s="28"/>
      <c r="G31" s="47"/>
      <c r="H31" s="116">
        <v>1292000</v>
      </c>
      <c r="I31" s="123"/>
      <c r="J31" s="123"/>
      <c r="K31" s="123"/>
      <c r="L31" s="123"/>
      <c r="M31" s="123"/>
      <c r="N31" s="122">
        <v>1633000</v>
      </c>
      <c r="O31" s="122">
        <v>1779800</v>
      </c>
    </row>
    <row r="32" spans="1:15" ht="47.25">
      <c r="A32" s="41" t="s">
        <v>345</v>
      </c>
      <c r="B32" s="24"/>
      <c r="C32" s="24" t="s">
        <v>72</v>
      </c>
      <c r="D32" s="24"/>
      <c r="E32" s="24"/>
      <c r="F32" s="28"/>
      <c r="G32" s="47"/>
      <c r="H32" s="116">
        <f>H33</f>
        <v>233891000</v>
      </c>
      <c r="I32" s="123"/>
      <c r="J32" s="123"/>
      <c r="K32" s="123"/>
      <c r="L32" s="123"/>
      <c r="M32" s="123"/>
      <c r="N32" s="124">
        <f>N33</f>
        <v>260071000</v>
      </c>
      <c r="O32" s="124">
        <f>O33</f>
        <v>288442000</v>
      </c>
    </row>
    <row r="33" spans="1:15" ht="346.5">
      <c r="A33" s="33" t="s">
        <v>296</v>
      </c>
      <c r="B33" s="24" t="s">
        <v>116</v>
      </c>
      <c r="C33" s="24" t="s">
        <v>72</v>
      </c>
      <c r="D33" s="24" t="s">
        <v>297</v>
      </c>
      <c r="E33" s="24"/>
      <c r="F33" s="28"/>
      <c r="G33" s="24"/>
      <c r="H33" s="116">
        <f>H34+H35+H36</f>
        <v>233891000</v>
      </c>
      <c r="I33" s="123"/>
      <c r="J33" s="123"/>
      <c r="K33" s="123"/>
      <c r="L33" s="123"/>
      <c r="M33" s="123"/>
      <c r="N33" s="122">
        <f>N34+N35+N36</f>
        <v>260071000</v>
      </c>
      <c r="O33" s="122">
        <v>288442000</v>
      </c>
    </row>
    <row r="34" spans="1:15" ht="94.5">
      <c r="A34" s="41" t="s">
        <v>129</v>
      </c>
      <c r="B34" s="24" t="s">
        <v>116</v>
      </c>
      <c r="C34" s="24" t="s">
        <v>72</v>
      </c>
      <c r="D34" s="24" t="s">
        <v>297</v>
      </c>
      <c r="E34" s="24" t="s">
        <v>133</v>
      </c>
      <c r="F34" s="28">
        <v>0</v>
      </c>
      <c r="G34" s="47">
        <v>1474467</v>
      </c>
      <c r="H34" s="116">
        <v>229432000</v>
      </c>
      <c r="I34" s="123"/>
      <c r="J34" s="123"/>
      <c r="K34" s="123"/>
      <c r="L34" s="123"/>
      <c r="M34" s="123"/>
      <c r="N34" s="122">
        <v>254870000</v>
      </c>
      <c r="O34" s="122">
        <v>282670000</v>
      </c>
    </row>
    <row r="35" spans="1:15" ht="204.75">
      <c r="A35" s="41" t="s">
        <v>131</v>
      </c>
      <c r="B35" s="24" t="s">
        <v>116</v>
      </c>
      <c r="C35" s="24" t="s">
        <v>72</v>
      </c>
      <c r="D35" s="24" t="s">
        <v>297</v>
      </c>
      <c r="E35" s="24" t="s">
        <v>135</v>
      </c>
      <c r="F35" s="28">
        <v>0</v>
      </c>
      <c r="G35" s="47">
        <v>1284127</v>
      </c>
      <c r="H35" s="116">
        <v>1600000</v>
      </c>
      <c r="I35" s="123"/>
      <c r="J35" s="123"/>
      <c r="K35" s="123"/>
      <c r="L35" s="123"/>
      <c r="M35" s="123"/>
      <c r="N35" s="122">
        <v>2080000</v>
      </c>
      <c r="O35" s="122">
        <v>2307000</v>
      </c>
    </row>
    <row r="36" spans="1:15" ht="141.75">
      <c r="A36" s="41" t="s">
        <v>161</v>
      </c>
      <c r="B36" s="24" t="s">
        <v>116</v>
      </c>
      <c r="C36" s="24" t="s">
        <v>72</v>
      </c>
      <c r="D36" s="24" t="s">
        <v>297</v>
      </c>
      <c r="E36" s="24" t="s">
        <v>136</v>
      </c>
      <c r="F36" s="28">
        <v>0</v>
      </c>
      <c r="G36" s="47">
        <v>48946218</v>
      </c>
      <c r="H36" s="116">
        <v>2859000</v>
      </c>
      <c r="I36" s="123"/>
      <c r="J36" s="123"/>
      <c r="K36" s="123"/>
      <c r="L36" s="123"/>
      <c r="M36" s="123"/>
      <c r="N36" s="122">
        <v>3121000</v>
      </c>
      <c r="O36" s="122">
        <v>3465000</v>
      </c>
    </row>
    <row r="37" spans="1:15" ht="63">
      <c r="A37" s="60" t="s">
        <v>79</v>
      </c>
      <c r="B37" s="29">
        <v>1000</v>
      </c>
      <c r="C37" s="30" t="s">
        <v>103</v>
      </c>
      <c r="D37" s="29"/>
      <c r="E37" s="29"/>
      <c r="F37" s="21" t="e">
        <f>#REF!+#REF!+#REF!+F60</f>
        <v>#REF!</v>
      </c>
      <c r="G37" s="27"/>
      <c r="H37" s="115">
        <f>H38+H47</f>
        <v>84915000</v>
      </c>
      <c r="I37" s="123"/>
      <c r="J37" s="123"/>
      <c r="K37" s="123"/>
      <c r="L37" s="123"/>
      <c r="M37" s="123"/>
      <c r="N37" s="124">
        <f>N38+N47</f>
        <v>87538000</v>
      </c>
      <c r="O37" s="124">
        <f>O38+O47</f>
        <v>99427000</v>
      </c>
    </row>
    <row r="38" spans="1:15" ht="94.5">
      <c r="A38" s="64" t="s">
        <v>80</v>
      </c>
      <c r="B38" s="24" t="s">
        <v>110</v>
      </c>
      <c r="C38" s="24">
        <v>1003</v>
      </c>
      <c r="D38" s="24"/>
      <c r="E38" s="24"/>
      <c r="F38" s="28" t="e">
        <f>F39+#REF!+#REF!+F60+#REF!+F58+#REF!+#REF!+#REF!+#REF!</f>
        <v>#REF!</v>
      </c>
      <c r="G38" s="24"/>
      <c r="H38" s="116">
        <f>H39</f>
        <v>81889611</v>
      </c>
      <c r="I38" s="129"/>
      <c r="J38" s="129"/>
      <c r="K38" s="129"/>
      <c r="L38" s="129"/>
      <c r="M38" s="129"/>
      <c r="N38" s="130">
        <f>N39</f>
        <v>84908985</v>
      </c>
      <c r="O38" s="130">
        <f>O39</f>
        <v>96666264</v>
      </c>
    </row>
    <row r="39" spans="1:15" ht="409.5">
      <c r="A39" s="65" t="s">
        <v>219</v>
      </c>
      <c r="B39" s="24" t="s">
        <v>110</v>
      </c>
      <c r="C39" s="24">
        <v>1003</v>
      </c>
      <c r="D39" s="24" t="s">
        <v>39</v>
      </c>
      <c r="E39" s="24"/>
      <c r="F39" s="28">
        <f>F40+F43</f>
        <v>0</v>
      </c>
      <c r="G39" s="24"/>
      <c r="H39" s="116">
        <f>H40</f>
        <v>81889611</v>
      </c>
      <c r="I39" s="129"/>
      <c r="J39" s="129"/>
      <c r="K39" s="129"/>
      <c r="L39" s="129"/>
      <c r="M39" s="129"/>
      <c r="N39" s="130">
        <f>N40</f>
        <v>84908985</v>
      </c>
      <c r="O39" s="130">
        <f>O40</f>
        <v>96666264</v>
      </c>
    </row>
    <row r="40" spans="1:15" ht="409.5">
      <c r="A40" s="65" t="s">
        <v>273</v>
      </c>
      <c r="B40" s="24" t="s">
        <v>110</v>
      </c>
      <c r="C40" s="24" t="s">
        <v>81</v>
      </c>
      <c r="D40" s="24" t="s">
        <v>274</v>
      </c>
      <c r="E40" s="24"/>
      <c r="F40" s="28">
        <f>F41</f>
        <v>0</v>
      </c>
      <c r="G40" s="24"/>
      <c r="H40" s="116">
        <f>H41+H43+H45</f>
        <v>81889611</v>
      </c>
      <c r="I40" s="129"/>
      <c r="J40" s="129"/>
      <c r="K40" s="129"/>
      <c r="L40" s="129"/>
      <c r="M40" s="129"/>
      <c r="N40" s="130">
        <f>N41+N43+N45</f>
        <v>84908985</v>
      </c>
      <c r="O40" s="130">
        <f>O41+O43+O45</f>
        <v>96666264</v>
      </c>
    </row>
    <row r="41" spans="1:15" ht="409.5">
      <c r="A41" s="65" t="s">
        <v>346</v>
      </c>
      <c r="B41" s="24" t="s">
        <v>110</v>
      </c>
      <c r="C41" s="24" t="s">
        <v>81</v>
      </c>
      <c r="D41" s="24" t="s">
        <v>347</v>
      </c>
      <c r="E41" s="24"/>
      <c r="F41" s="28">
        <v>0</v>
      </c>
      <c r="G41" s="24" t="s">
        <v>348</v>
      </c>
      <c r="H41" s="116">
        <f>H42</f>
        <v>7450539</v>
      </c>
      <c r="I41" s="129"/>
      <c r="J41" s="129"/>
      <c r="K41" s="129"/>
      <c r="L41" s="129"/>
      <c r="M41" s="129"/>
      <c r="N41" s="131">
        <f>N42</f>
        <v>7640267</v>
      </c>
      <c r="O41" s="131">
        <f>O42</f>
        <v>8825360</v>
      </c>
    </row>
    <row r="42" spans="1:15" ht="157.5">
      <c r="A42" s="66" t="s">
        <v>156</v>
      </c>
      <c r="B42" s="24" t="s">
        <v>110</v>
      </c>
      <c r="C42" s="24" t="s">
        <v>81</v>
      </c>
      <c r="D42" s="24" t="s">
        <v>347</v>
      </c>
      <c r="E42" s="24" t="s">
        <v>155</v>
      </c>
      <c r="F42" s="28"/>
      <c r="G42" s="24"/>
      <c r="H42" s="116">
        <v>7450539</v>
      </c>
      <c r="I42" s="129"/>
      <c r="J42" s="129"/>
      <c r="K42" s="129"/>
      <c r="L42" s="129"/>
      <c r="M42" s="129"/>
      <c r="N42" s="131">
        <v>7640267</v>
      </c>
      <c r="O42" s="131">
        <v>8825360</v>
      </c>
    </row>
    <row r="43" spans="1:15" ht="409.5">
      <c r="A43" s="67" t="s">
        <v>349</v>
      </c>
      <c r="B43" s="24" t="s">
        <v>110</v>
      </c>
      <c r="C43" s="24">
        <v>1003</v>
      </c>
      <c r="D43" s="24" t="s">
        <v>350</v>
      </c>
      <c r="E43" s="24"/>
      <c r="F43" s="28">
        <f>F45</f>
        <v>0</v>
      </c>
      <c r="G43" s="24"/>
      <c r="H43" s="116">
        <f>H44</f>
        <v>64545072</v>
      </c>
      <c r="I43" s="129"/>
      <c r="J43" s="129"/>
      <c r="K43" s="129"/>
      <c r="L43" s="129"/>
      <c r="M43" s="129"/>
      <c r="N43" s="130">
        <f>N44</f>
        <v>67004718</v>
      </c>
      <c r="O43" s="130">
        <f>O44</f>
        <v>77478904</v>
      </c>
    </row>
    <row r="44" spans="1:15" ht="157.5">
      <c r="A44" s="66" t="s">
        <v>156</v>
      </c>
      <c r="B44" s="24" t="s">
        <v>110</v>
      </c>
      <c r="C44" s="24" t="s">
        <v>81</v>
      </c>
      <c r="D44" s="24" t="s">
        <v>350</v>
      </c>
      <c r="E44" s="24" t="s">
        <v>155</v>
      </c>
      <c r="F44" s="28"/>
      <c r="G44" s="24"/>
      <c r="H44" s="116">
        <v>64545072</v>
      </c>
      <c r="I44" s="129"/>
      <c r="J44" s="129"/>
      <c r="K44" s="129"/>
      <c r="L44" s="129"/>
      <c r="M44" s="129"/>
      <c r="N44" s="130">
        <v>67004718</v>
      </c>
      <c r="O44" s="130">
        <v>77478904</v>
      </c>
    </row>
    <row r="45" spans="1:15" ht="409.5">
      <c r="A45" s="67" t="s">
        <v>351</v>
      </c>
      <c r="B45" s="24" t="s">
        <v>110</v>
      </c>
      <c r="C45" s="24" t="s">
        <v>81</v>
      </c>
      <c r="D45" s="24" t="s">
        <v>352</v>
      </c>
      <c r="E45" s="24"/>
      <c r="F45" s="28">
        <v>0</v>
      </c>
      <c r="G45" s="24" t="s">
        <v>353</v>
      </c>
      <c r="H45" s="116">
        <f>H46</f>
        <v>9894000</v>
      </c>
      <c r="I45" s="129"/>
      <c r="J45" s="129"/>
      <c r="K45" s="129"/>
      <c r="L45" s="129"/>
      <c r="M45" s="129"/>
      <c r="N45" s="130">
        <f>N46</f>
        <v>10264000</v>
      </c>
      <c r="O45" s="130">
        <f>O46</f>
        <v>10362000</v>
      </c>
    </row>
    <row r="46" spans="1:15" ht="204.75">
      <c r="A46" s="64" t="s">
        <v>142</v>
      </c>
      <c r="B46" s="31" t="s">
        <v>110</v>
      </c>
      <c r="C46" s="31" t="s">
        <v>81</v>
      </c>
      <c r="D46" s="31" t="s">
        <v>352</v>
      </c>
      <c r="E46" s="31" t="s">
        <v>143</v>
      </c>
      <c r="F46" s="68"/>
      <c r="G46" s="31"/>
      <c r="H46" s="104">
        <v>9894000</v>
      </c>
      <c r="I46" s="105"/>
      <c r="J46" s="105"/>
      <c r="K46" s="105"/>
      <c r="L46" s="105"/>
      <c r="M46" s="105"/>
      <c r="N46" s="106">
        <v>10264000</v>
      </c>
      <c r="O46" s="106">
        <v>10362000</v>
      </c>
    </row>
    <row r="47" spans="1:15" ht="126">
      <c r="A47" s="64" t="s">
        <v>354</v>
      </c>
      <c r="B47" s="31" t="s">
        <v>110</v>
      </c>
      <c r="C47" s="31" t="s">
        <v>123</v>
      </c>
      <c r="D47" s="31"/>
      <c r="E47" s="31"/>
      <c r="F47" s="68"/>
      <c r="G47" s="31"/>
      <c r="H47" s="104">
        <f>H48</f>
        <v>3025389</v>
      </c>
      <c r="I47" s="104">
        <f aca="true" t="shared" si="0" ref="I47:O47">I48</f>
        <v>0</v>
      </c>
      <c r="J47" s="104">
        <f t="shared" si="0"/>
        <v>0</v>
      </c>
      <c r="K47" s="104">
        <f t="shared" si="0"/>
        <v>0</v>
      </c>
      <c r="L47" s="104">
        <f t="shared" si="0"/>
        <v>0</v>
      </c>
      <c r="M47" s="104">
        <f t="shared" si="0"/>
        <v>0</v>
      </c>
      <c r="N47" s="104">
        <f t="shared" si="0"/>
        <v>2629015</v>
      </c>
      <c r="O47" s="104">
        <f t="shared" si="0"/>
        <v>2760736</v>
      </c>
    </row>
    <row r="48" spans="1:15" ht="157.5">
      <c r="A48" s="65" t="s">
        <v>355</v>
      </c>
      <c r="B48" s="31" t="s">
        <v>110</v>
      </c>
      <c r="C48" s="31" t="s">
        <v>123</v>
      </c>
      <c r="D48" s="31" t="s">
        <v>222</v>
      </c>
      <c r="E48" s="31"/>
      <c r="F48" s="68"/>
      <c r="G48" s="31"/>
      <c r="H48" s="104">
        <f>H49+H53</f>
        <v>3025389</v>
      </c>
      <c r="I48" s="105"/>
      <c r="J48" s="105"/>
      <c r="K48" s="105"/>
      <c r="L48" s="105"/>
      <c r="M48" s="105"/>
      <c r="N48" s="106">
        <f>N49+N53</f>
        <v>2629015</v>
      </c>
      <c r="O48" s="106">
        <f>O49+O53</f>
        <v>2760736</v>
      </c>
    </row>
    <row r="49" spans="1:15" ht="78.75">
      <c r="A49" s="70" t="s">
        <v>356</v>
      </c>
      <c r="B49" s="31" t="s">
        <v>110</v>
      </c>
      <c r="C49" s="31" t="s">
        <v>123</v>
      </c>
      <c r="D49" s="31" t="s">
        <v>357</v>
      </c>
      <c r="E49" s="31"/>
      <c r="F49" s="68"/>
      <c r="G49" s="31"/>
      <c r="H49" s="104">
        <f>H50+H51+H52</f>
        <v>346461</v>
      </c>
      <c r="I49" s="105"/>
      <c r="J49" s="105"/>
      <c r="K49" s="105"/>
      <c r="L49" s="105"/>
      <c r="M49" s="105"/>
      <c r="N49" s="106">
        <f>N50+N51+N52</f>
        <v>390733</v>
      </c>
      <c r="O49" s="106">
        <f>O50+O51+O52</f>
        <v>410640</v>
      </c>
    </row>
    <row r="50" spans="1:15" ht="157.5">
      <c r="A50" s="64" t="s">
        <v>130</v>
      </c>
      <c r="B50" s="31" t="s">
        <v>110</v>
      </c>
      <c r="C50" s="31" t="s">
        <v>123</v>
      </c>
      <c r="D50" s="31" t="s">
        <v>357</v>
      </c>
      <c r="E50" s="31" t="s">
        <v>134</v>
      </c>
      <c r="F50" s="68"/>
      <c r="G50" s="31"/>
      <c r="H50" s="104">
        <v>600</v>
      </c>
      <c r="I50" s="105"/>
      <c r="J50" s="105"/>
      <c r="K50" s="105"/>
      <c r="L50" s="105"/>
      <c r="M50" s="105"/>
      <c r="N50" s="107">
        <v>600</v>
      </c>
      <c r="O50" s="107">
        <v>600</v>
      </c>
    </row>
    <row r="51" spans="1:15" ht="204.75">
      <c r="A51" s="71" t="s">
        <v>131</v>
      </c>
      <c r="B51" s="31" t="s">
        <v>110</v>
      </c>
      <c r="C51" s="31" t="s">
        <v>123</v>
      </c>
      <c r="D51" s="31" t="s">
        <v>357</v>
      </c>
      <c r="E51" s="31" t="s">
        <v>135</v>
      </c>
      <c r="F51" s="68"/>
      <c r="G51" s="31"/>
      <c r="H51" s="104">
        <v>94796</v>
      </c>
      <c r="I51" s="105"/>
      <c r="J51" s="105"/>
      <c r="K51" s="105"/>
      <c r="L51" s="105"/>
      <c r="M51" s="105"/>
      <c r="N51" s="107">
        <v>97680</v>
      </c>
      <c r="O51" s="107">
        <v>102660</v>
      </c>
    </row>
    <row r="52" spans="1:15" ht="141.75">
      <c r="A52" s="71" t="s">
        <v>161</v>
      </c>
      <c r="B52" s="31" t="s">
        <v>110</v>
      </c>
      <c r="C52" s="31" t="s">
        <v>123</v>
      </c>
      <c r="D52" s="31" t="s">
        <v>357</v>
      </c>
      <c r="E52" s="31" t="s">
        <v>136</v>
      </c>
      <c r="F52" s="68"/>
      <c r="G52" s="31"/>
      <c r="H52" s="104">
        <v>251065</v>
      </c>
      <c r="I52" s="105"/>
      <c r="J52" s="105"/>
      <c r="K52" s="105"/>
      <c r="L52" s="105"/>
      <c r="M52" s="105"/>
      <c r="N52" s="107">
        <v>292453</v>
      </c>
      <c r="O52" s="107">
        <v>307380</v>
      </c>
    </row>
    <row r="53" spans="1:15" ht="78.75">
      <c r="A53" s="70" t="s">
        <v>358</v>
      </c>
      <c r="B53" s="31" t="s">
        <v>110</v>
      </c>
      <c r="C53" s="31" t="s">
        <v>123</v>
      </c>
      <c r="D53" s="31" t="s">
        <v>359</v>
      </c>
      <c r="E53" s="31"/>
      <c r="F53" s="68"/>
      <c r="G53" s="31"/>
      <c r="H53" s="104">
        <f>H54+H55+H56+H57</f>
        <v>2678928</v>
      </c>
      <c r="I53" s="105"/>
      <c r="J53" s="105"/>
      <c r="K53" s="105"/>
      <c r="L53" s="105"/>
      <c r="M53" s="105"/>
      <c r="N53" s="106">
        <v>2238282</v>
      </c>
      <c r="O53" s="106">
        <v>2350096</v>
      </c>
    </row>
    <row r="54" spans="1:15" ht="94.5">
      <c r="A54" s="64" t="s">
        <v>129</v>
      </c>
      <c r="B54" s="31" t="s">
        <v>110</v>
      </c>
      <c r="C54" s="31" t="s">
        <v>123</v>
      </c>
      <c r="D54" s="31" t="s">
        <v>359</v>
      </c>
      <c r="E54" s="31" t="s">
        <v>133</v>
      </c>
      <c r="F54" s="68"/>
      <c r="G54" s="31"/>
      <c r="H54" s="104">
        <v>217695</v>
      </c>
      <c r="I54" s="105"/>
      <c r="J54" s="105"/>
      <c r="K54" s="105"/>
      <c r="L54" s="105"/>
      <c r="M54" s="105"/>
      <c r="N54" s="107">
        <v>179060</v>
      </c>
      <c r="O54" s="107">
        <v>198750</v>
      </c>
    </row>
    <row r="55" spans="1:15" ht="157.5">
      <c r="A55" s="64" t="s">
        <v>130</v>
      </c>
      <c r="B55" s="31" t="s">
        <v>110</v>
      </c>
      <c r="C55" s="31" t="s">
        <v>123</v>
      </c>
      <c r="D55" s="31" t="s">
        <v>359</v>
      </c>
      <c r="E55" s="31" t="s">
        <v>134</v>
      </c>
      <c r="F55" s="68"/>
      <c r="G55" s="31"/>
      <c r="H55" s="104">
        <v>2000</v>
      </c>
      <c r="I55" s="105"/>
      <c r="J55" s="105"/>
      <c r="K55" s="105"/>
      <c r="L55" s="105"/>
      <c r="M55" s="105"/>
      <c r="N55" s="107">
        <v>2000</v>
      </c>
      <c r="O55" s="107">
        <v>2000</v>
      </c>
    </row>
    <row r="56" spans="1:15" ht="204.75">
      <c r="A56" s="71" t="s">
        <v>131</v>
      </c>
      <c r="B56" s="31" t="s">
        <v>110</v>
      </c>
      <c r="C56" s="31" t="s">
        <v>123</v>
      </c>
      <c r="D56" s="31" t="s">
        <v>359</v>
      </c>
      <c r="E56" s="31" t="s">
        <v>135</v>
      </c>
      <c r="F56" s="68"/>
      <c r="G56" s="31"/>
      <c r="H56" s="104">
        <v>438443</v>
      </c>
      <c r="I56" s="105"/>
      <c r="J56" s="105"/>
      <c r="K56" s="105"/>
      <c r="L56" s="105"/>
      <c r="M56" s="105"/>
      <c r="N56" s="107">
        <v>356132</v>
      </c>
      <c r="O56" s="107">
        <v>36800</v>
      </c>
    </row>
    <row r="57" spans="1:15" ht="141.75">
      <c r="A57" s="108" t="s">
        <v>161</v>
      </c>
      <c r="B57" s="103" t="s">
        <v>110</v>
      </c>
      <c r="C57" s="103" t="s">
        <v>123</v>
      </c>
      <c r="D57" s="103" t="s">
        <v>359</v>
      </c>
      <c r="E57" s="103" t="s">
        <v>136</v>
      </c>
      <c r="F57" s="109"/>
      <c r="G57" s="103"/>
      <c r="H57" s="110">
        <v>2020790</v>
      </c>
      <c r="I57" s="105"/>
      <c r="J57" s="105"/>
      <c r="K57" s="105"/>
      <c r="L57" s="105"/>
      <c r="M57" s="105"/>
      <c r="N57" s="111">
        <v>1701090</v>
      </c>
      <c r="O57" s="111">
        <v>2112546</v>
      </c>
    </row>
    <row r="58" spans="1:15" ht="15.75">
      <c r="A58" s="63"/>
      <c r="B58" s="2"/>
      <c r="C58" s="11"/>
      <c r="D58" s="3"/>
      <c r="E58" s="3"/>
      <c r="F58" s="88"/>
      <c r="G58" s="102"/>
      <c r="H58" s="120">
        <f aca="true" t="shared" si="1" ref="H58:O58">H37+H26+H20+H6</f>
        <v>370515300</v>
      </c>
      <c r="I58" s="120">
        <f t="shared" si="1"/>
        <v>0</v>
      </c>
      <c r="J58" s="120">
        <f t="shared" si="1"/>
        <v>0</v>
      </c>
      <c r="K58" s="120">
        <f t="shared" si="1"/>
        <v>0</v>
      </c>
      <c r="L58" s="120">
        <f t="shared" si="1"/>
        <v>0</v>
      </c>
      <c r="M58" s="120">
        <f t="shared" si="1"/>
        <v>0</v>
      </c>
      <c r="N58" s="120">
        <f t="shared" si="1"/>
        <v>403794900</v>
      </c>
      <c r="O58" s="120">
        <f t="shared" si="1"/>
        <v>448958400</v>
      </c>
    </row>
  </sheetData>
  <sheetProtection/>
  <mergeCells count="1">
    <mergeCell ref="A1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8"/>
  <sheetViews>
    <sheetView tabSelected="1" zoomScale="75" zoomScaleNormal="75" zoomScaleSheetLayoutView="90" zoomScalePageLayoutView="0" workbookViewId="0" topLeftCell="A297">
      <selection activeCell="A297" sqref="A297"/>
    </sheetView>
  </sheetViews>
  <sheetFormatPr defaultColWidth="10.25390625" defaultRowHeight="12.75"/>
  <cols>
    <col min="1" max="1" width="48.75390625" style="49" customWidth="1"/>
    <col min="2" max="2" width="0.12890625" style="6" hidden="1" customWidth="1"/>
    <col min="3" max="3" width="8.625" style="10" customWidth="1"/>
    <col min="4" max="4" width="9.75390625" style="7" customWidth="1"/>
    <col min="5" max="5" width="12.125" style="7" customWidth="1"/>
    <col min="6" max="6" width="8.375" style="8" hidden="1" customWidth="1"/>
    <col min="7" max="7" width="17.125" style="1" hidden="1" customWidth="1"/>
    <col min="8" max="8" width="0.2421875" style="113" hidden="1" customWidth="1"/>
    <col min="9" max="9" width="0.74609375" style="123" hidden="1" customWidth="1"/>
    <col min="10" max="12" width="10.25390625" style="123" hidden="1" customWidth="1"/>
    <col min="13" max="13" width="0.12890625" style="123" hidden="1" customWidth="1"/>
    <col min="14" max="14" width="0.875" style="123" hidden="1" customWidth="1"/>
    <col min="15" max="15" width="13.875" style="123" hidden="1" customWidth="1"/>
    <col min="16" max="16" width="20.375" style="123" customWidth="1"/>
    <col min="17" max="17" width="13.375" style="123" hidden="1" customWidth="1"/>
    <col min="18" max="18" width="18.75390625" style="1" hidden="1" customWidth="1"/>
    <col min="19" max="19" width="20.125" style="1" customWidth="1"/>
    <col min="20" max="20" width="16.125" style="1" customWidth="1"/>
    <col min="21" max="21" width="17.125" style="1" customWidth="1"/>
    <col min="22" max="16384" width="10.25390625" style="1" customWidth="1"/>
  </cols>
  <sheetData>
    <row r="1" spans="1:19" ht="78" customHeight="1">
      <c r="A1" s="49" t="s">
        <v>28</v>
      </c>
      <c r="B1" s="4"/>
      <c r="C1" s="237" t="s">
        <v>525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2:8" ht="1.5" customHeight="1">
      <c r="B2" s="5"/>
      <c r="C2" s="9"/>
      <c r="D2" s="157"/>
      <c r="E2" s="157"/>
      <c r="F2" s="1"/>
      <c r="H2" s="123"/>
    </row>
    <row r="3" spans="1:8" ht="18.75" customHeight="1">
      <c r="A3" s="238"/>
      <c r="B3" s="238"/>
      <c r="C3" s="238"/>
      <c r="D3" s="238"/>
      <c r="E3" s="238"/>
      <c r="F3" s="1"/>
      <c r="H3" s="123"/>
    </row>
    <row r="4" spans="1:19" ht="75" customHeight="1">
      <c r="A4" s="245" t="s">
        <v>470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</row>
    <row r="5" spans="1:19" ht="15.75">
      <c r="A5" s="240" t="s">
        <v>177</v>
      </c>
      <c r="B5" s="101"/>
      <c r="C5" s="242" t="s">
        <v>105</v>
      </c>
      <c r="D5" s="242" t="s">
        <v>100</v>
      </c>
      <c r="E5" s="242" t="s">
        <v>101</v>
      </c>
      <c r="F5" s="142"/>
      <c r="G5" s="102"/>
      <c r="H5" s="120" t="s">
        <v>471</v>
      </c>
      <c r="I5" s="124"/>
      <c r="J5" s="124"/>
      <c r="K5" s="124"/>
      <c r="L5" s="124"/>
      <c r="M5" s="124"/>
      <c r="N5" s="218" t="s">
        <v>102</v>
      </c>
      <c r="O5" s="218"/>
      <c r="P5" s="218"/>
      <c r="Q5" s="218"/>
      <c r="R5" s="218"/>
      <c r="S5" s="218"/>
    </row>
    <row r="6" spans="1:19" ht="39" customHeight="1">
      <c r="A6" s="240"/>
      <c r="B6" s="29" t="s">
        <v>30</v>
      </c>
      <c r="C6" s="242"/>
      <c r="D6" s="242"/>
      <c r="E6" s="242"/>
      <c r="F6" s="143" t="s">
        <v>102</v>
      </c>
      <c r="G6" s="27"/>
      <c r="H6" s="127" t="s">
        <v>102</v>
      </c>
      <c r="I6" s="124"/>
      <c r="J6" s="124"/>
      <c r="K6" s="124"/>
      <c r="L6" s="124"/>
      <c r="M6" s="124"/>
      <c r="N6" s="206" t="s">
        <v>472</v>
      </c>
      <c r="O6" s="206" t="s">
        <v>524</v>
      </c>
      <c r="P6" s="206" t="s">
        <v>493</v>
      </c>
      <c r="Q6" s="206" t="s">
        <v>473</v>
      </c>
      <c r="R6" s="207" t="s">
        <v>524</v>
      </c>
      <c r="S6" s="207" t="s">
        <v>494</v>
      </c>
    </row>
    <row r="7" spans="1:19" ht="18" customHeight="1">
      <c r="A7" s="62" t="s">
        <v>31</v>
      </c>
      <c r="B7" s="23" t="s">
        <v>32</v>
      </c>
      <c r="C7" s="26" t="s">
        <v>32</v>
      </c>
      <c r="D7" s="23"/>
      <c r="E7" s="23"/>
      <c r="F7" s="144" t="e">
        <f>SUM(F8+F13+F21+#REF!+#REF!+F69+#REF!+#REF!+F66)</f>
        <v>#REF!</v>
      </c>
      <c r="G7" s="100"/>
      <c r="H7" s="114">
        <f>H8+H13+H21+H47+H69+H66</f>
        <v>94251700</v>
      </c>
      <c r="N7" s="114">
        <f>SUM(N8+N13+N21+N47+N69+N66)</f>
        <v>71537029</v>
      </c>
      <c r="O7" s="114"/>
      <c r="P7" s="114">
        <f>SUM(P8+P13+P21+P47+P69+P66)</f>
        <v>71537029</v>
      </c>
      <c r="Q7" s="114">
        <f>Q8+Q13+Q21+Q47+Q66+Q69+Q44</f>
        <v>73534461</v>
      </c>
      <c r="R7" s="102"/>
      <c r="S7" s="114">
        <f>S8+S13+S21+S47+S66+S69+S44</f>
        <v>73534461</v>
      </c>
    </row>
    <row r="8" spans="1:19" ht="21.75" customHeight="1">
      <c r="A8" s="50" t="s">
        <v>423</v>
      </c>
      <c r="B8" s="26"/>
      <c r="C8" s="23" t="s">
        <v>33</v>
      </c>
      <c r="D8" s="24" t="s">
        <v>181</v>
      </c>
      <c r="E8" s="26"/>
      <c r="F8" s="39">
        <f>F9</f>
        <v>0</v>
      </c>
      <c r="G8" s="27"/>
      <c r="H8" s="115">
        <f>H9</f>
        <v>1219356</v>
      </c>
      <c r="N8" s="115">
        <f>N9</f>
        <v>1219356</v>
      </c>
      <c r="O8" s="115"/>
      <c r="P8" s="115">
        <f>P9</f>
        <v>1219356</v>
      </c>
      <c r="Q8" s="115">
        <f>Q9</f>
        <v>1219356</v>
      </c>
      <c r="R8" s="102"/>
      <c r="S8" s="115">
        <f>S9</f>
        <v>1219356</v>
      </c>
    </row>
    <row r="9" spans="1:19" ht="36.75" customHeight="1">
      <c r="A9" s="50" t="s">
        <v>86</v>
      </c>
      <c r="B9" s="23"/>
      <c r="C9" s="23" t="s">
        <v>33</v>
      </c>
      <c r="D9" s="24" t="s">
        <v>189</v>
      </c>
      <c r="E9" s="23"/>
      <c r="F9" s="39">
        <f>F10</f>
        <v>0</v>
      </c>
      <c r="G9" s="27"/>
      <c r="H9" s="115">
        <f>H10</f>
        <v>1219356</v>
      </c>
      <c r="N9" s="115">
        <f>N10</f>
        <v>1219356</v>
      </c>
      <c r="O9" s="115"/>
      <c r="P9" s="115">
        <f>P10</f>
        <v>1219356</v>
      </c>
      <c r="Q9" s="115">
        <f>Q10</f>
        <v>1219356</v>
      </c>
      <c r="R9" s="102"/>
      <c r="S9" s="115">
        <f>S10</f>
        <v>1219356</v>
      </c>
    </row>
    <row r="10" spans="1:19" ht="20.25" customHeight="1">
      <c r="A10" s="50" t="s">
        <v>88</v>
      </c>
      <c r="B10" s="23"/>
      <c r="C10" s="23" t="s">
        <v>33</v>
      </c>
      <c r="D10" s="24" t="s">
        <v>189</v>
      </c>
      <c r="E10" s="23"/>
      <c r="F10" s="39">
        <f>F11+F12</f>
        <v>0</v>
      </c>
      <c r="G10" s="27"/>
      <c r="H10" s="115">
        <f>H11+H12</f>
        <v>1219356</v>
      </c>
      <c r="N10" s="115">
        <f>N11+N12</f>
        <v>1219356</v>
      </c>
      <c r="O10" s="115"/>
      <c r="P10" s="115">
        <f>P11+P12</f>
        <v>1219356</v>
      </c>
      <c r="Q10" s="115">
        <f>Q11+Q12</f>
        <v>1219356</v>
      </c>
      <c r="R10" s="102"/>
      <c r="S10" s="115">
        <f>S11+S12</f>
        <v>1219356</v>
      </c>
    </row>
    <row r="11" spans="1:19" ht="16.5" customHeight="1">
      <c r="A11" s="41" t="s">
        <v>129</v>
      </c>
      <c r="B11" s="23"/>
      <c r="C11" s="23" t="s">
        <v>33</v>
      </c>
      <c r="D11" s="24" t="s">
        <v>189</v>
      </c>
      <c r="E11" s="23" t="s">
        <v>146</v>
      </c>
      <c r="F11" s="80">
        <v>0</v>
      </c>
      <c r="G11" s="27">
        <v>1169925</v>
      </c>
      <c r="H11" s="116">
        <v>1178356</v>
      </c>
      <c r="N11" s="116">
        <v>1178356</v>
      </c>
      <c r="O11" s="116"/>
      <c r="P11" s="116">
        <f>N11+O11</f>
        <v>1178356</v>
      </c>
      <c r="Q11" s="116">
        <v>1178356</v>
      </c>
      <c r="R11" s="102"/>
      <c r="S11" s="116">
        <f>Q11+R11</f>
        <v>1178356</v>
      </c>
    </row>
    <row r="12" spans="1:19" ht="32.25" customHeight="1">
      <c r="A12" s="41" t="s">
        <v>130</v>
      </c>
      <c r="B12" s="23"/>
      <c r="C12" s="23" t="s">
        <v>33</v>
      </c>
      <c r="D12" s="24" t="s">
        <v>189</v>
      </c>
      <c r="E12" s="23" t="s">
        <v>147</v>
      </c>
      <c r="F12" s="80">
        <v>0</v>
      </c>
      <c r="G12" s="27">
        <v>41100</v>
      </c>
      <c r="H12" s="116">
        <v>41000</v>
      </c>
      <c r="N12" s="116">
        <v>41000</v>
      </c>
      <c r="O12" s="116"/>
      <c r="P12" s="116">
        <f>N12+O12</f>
        <v>41000</v>
      </c>
      <c r="Q12" s="116">
        <v>41000</v>
      </c>
      <c r="R12" s="102"/>
      <c r="S12" s="116">
        <f>Q12+R12</f>
        <v>41000</v>
      </c>
    </row>
    <row r="13" spans="1:19" ht="66" customHeight="1">
      <c r="A13" s="50" t="s">
        <v>89</v>
      </c>
      <c r="B13" s="26"/>
      <c r="C13" s="23" t="s">
        <v>34</v>
      </c>
      <c r="D13" s="24" t="s">
        <v>181</v>
      </c>
      <c r="E13" s="26"/>
      <c r="F13" s="39" t="e">
        <f>F14+#REF!</f>
        <v>#REF!</v>
      </c>
      <c r="G13" s="27">
        <v>0</v>
      </c>
      <c r="H13" s="115">
        <f>H14</f>
        <v>1146644</v>
      </c>
      <c r="N13" s="115">
        <f>N14</f>
        <v>1146644</v>
      </c>
      <c r="O13" s="115"/>
      <c r="P13" s="115">
        <f>P14</f>
        <v>1146644</v>
      </c>
      <c r="Q13" s="115">
        <f>Q14</f>
        <v>1146644</v>
      </c>
      <c r="R13" s="102"/>
      <c r="S13" s="115">
        <f>S14</f>
        <v>1146644</v>
      </c>
    </row>
    <row r="14" spans="1:19" ht="48.75" customHeight="1">
      <c r="A14" s="50" t="s">
        <v>87</v>
      </c>
      <c r="B14" s="23"/>
      <c r="C14" s="23" t="s">
        <v>34</v>
      </c>
      <c r="D14" s="24" t="s">
        <v>178</v>
      </c>
      <c r="E14" s="23"/>
      <c r="F14" s="39" t="e">
        <f>F15</f>
        <v>#REF!</v>
      </c>
      <c r="G14" s="27"/>
      <c r="H14" s="115">
        <f>H15</f>
        <v>1146644</v>
      </c>
      <c r="N14" s="115">
        <f>N15</f>
        <v>1146644</v>
      </c>
      <c r="O14" s="115"/>
      <c r="P14" s="115">
        <f>P15</f>
        <v>1146644</v>
      </c>
      <c r="Q14" s="115">
        <f>Q15</f>
        <v>1146644</v>
      </c>
      <c r="R14" s="102"/>
      <c r="S14" s="115">
        <f>S15</f>
        <v>1146644</v>
      </c>
    </row>
    <row r="15" spans="1:19" ht="18.75" customHeight="1">
      <c r="A15" s="50" t="s">
        <v>35</v>
      </c>
      <c r="B15" s="23"/>
      <c r="C15" s="23" t="s">
        <v>34</v>
      </c>
      <c r="D15" s="24" t="s">
        <v>178</v>
      </c>
      <c r="E15" s="23"/>
      <c r="F15" s="39" t="e">
        <f>F17+F18+F19+F20+F16+#REF!</f>
        <v>#REF!</v>
      </c>
      <c r="G15" s="27">
        <v>0</v>
      </c>
      <c r="H15" s="115">
        <f>H17+H18+H19+H20+H16</f>
        <v>1146644</v>
      </c>
      <c r="N15" s="115">
        <f>N17+N18+N19+N20+N16</f>
        <v>1146644</v>
      </c>
      <c r="O15" s="115"/>
      <c r="P15" s="115">
        <f>P17+P18+P19+P20+P16</f>
        <v>1146644</v>
      </c>
      <c r="Q15" s="115">
        <f>Q17+Q18+Q19+Q20+Q16</f>
        <v>1146644</v>
      </c>
      <c r="R15" s="102"/>
      <c r="S15" s="115">
        <f>S17+S18+S19+S20+S16</f>
        <v>1146644</v>
      </c>
    </row>
    <row r="16" spans="1:19" ht="18.75" customHeight="1">
      <c r="A16" s="41" t="s">
        <v>129</v>
      </c>
      <c r="B16" s="23" t="s">
        <v>159</v>
      </c>
      <c r="C16" s="23" t="s">
        <v>34</v>
      </c>
      <c r="D16" s="24" t="s">
        <v>178</v>
      </c>
      <c r="E16" s="23" t="s">
        <v>133</v>
      </c>
      <c r="F16" s="80">
        <v>0</v>
      </c>
      <c r="G16" s="27">
        <v>141879</v>
      </c>
      <c r="H16" s="116">
        <v>147480</v>
      </c>
      <c r="N16" s="116">
        <v>147480</v>
      </c>
      <c r="O16" s="116"/>
      <c r="P16" s="116">
        <f>N16+O16</f>
        <v>147480</v>
      </c>
      <c r="Q16" s="116">
        <v>147480</v>
      </c>
      <c r="R16" s="102"/>
      <c r="S16" s="116">
        <f>Q16+R16</f>
        <v>147480</v>
      </c>
    </row>
    <row r="17" spans="1:19" ht="21" customHeight="1">
      <c r="A17" s="41" t="s">
        <v>129</v>
      </c>
      <c r="B17" s="23"/>
      <c r="C17" s="23" t="s">
        <v>34</v>
      </c>
      <c r="D17" s="24" t="s">
        <v>178</v>
      </c>
      <c r="E17" s="23" t="s">
        <v>146</v>
      </c>
      <c r="F17" s="80">
        <v>0</v>
      </c>
      <c r="G17" s="27">
        <v>1329958</v>
      </c>
      <c r="H17" s="116">
        <v>974442</v>
      </c>
      <c r="N17" s="116">
        <v>974442</v>
      </c>
      <c r="O17" s="116"/>
      <c r="P17" s="116">
        <f>N17+O17</f>
        <v>974442</v>
      </c>
      <c r="Q17" s="116">
        <v>974442</v>
      </c>
      <c r="R17" s="102"/>
      <c r="S17" s="116">
        <f>Q17+R17</f>
        <v>974442</v>
      </c>
    </row>
    <row r="18" spans="1:19" ht="33" customHeight="1">
      <c r="A18" s="41" t="s">
        <v>130</v>
      </c>
      <c r="B18" s="23"/>
      <c r="C18" s="23" t="s">
        <v>34</v>
      </c>
      <c r="D18" s="24" t="s">
        <v>178</v>
      </c>
      <c r="E18" s="23" t="s">
        <v>147</v>
      </c>
      <c r="F18" s="80">
        <v>0</v>
      </c>
      <c r="G18" s="27">
        <v>10000</v>
      </c>
      <c r="H18" s="116">
        <v>8000</v>
      </c>
      <c r="N18" s="116">
        <v>8000</v>
      </c>
      <c r="O18" s="116"/>
      <c r="P18" s="116">
        <f>N18+O18</f>
        <v>8000</v>
      </c>
      <c r="Q18" s="116">
        <v>8000</v>
      </c>
      <c r="R18" s="102"/>
      <c r="S18" s="116">
        <f>Q18+R18</f>
        <v>8000</v>
      </c>
    </row>
    <row r="19" spans="1:19" ht="33" customHeight="1">
      <c r="A19" s="41" t="s">
        <v>131</v>
      </c>
      <c r="B19" s="23"/>
      <c r="C19" s="23" t="s">
        <v>34</v>
      </c>
      <c r="D19" s="24" t="s">
        <v>178</v>
      </c>
      <c r="E19" s="23" t="s">
        <v>135</v>
      </c>
      <c r="F19" s="39">
        <v>0</v>
      </c>
      <c r="G19" s="27">
        <v>69823</v>
      </c>
      <c r="H19" s="115">
        <v>6722</v>
      </c>
      <c r="N19" s="115">
        <v>6722</v>
      </c>
      <c r="O19" s="115"/>
      <c r="P19" s="116">
        <f>N19+O19</f>
        <v>6722</v>
      </c>
      <c r="Q19" s="115">
        <v>6722</v>
      </c>
      <c r="R19" s="102"/>
      <c r="S19" s="116">
        <f>Q19+R19</f>
        <v>6722</v>
      </c>
    </row>
    <row r="20" spans="1:19" ht="33" customHeight="1">
      <c r="A20" s="41" t="s">
        <v>161</v>
      </c>
      <c r="B20" s="23"/>
      <c r="C20" s="23" t="s">
        <v>34</v>
      </c>
      <c r="D20" s="24" t="s">
        <v>178</v>
      </c>
      <c r="E20" s="23" t="s">
        <v>136</v>
      </c>
      <c r="F20" s="39">
        <v>0</v>
      </c>
      <c r="G20" s="27">
        <v>67000</v>
      </c>
      <c r="H20" s="115">
        <v>10000</v>
      </c>
      <c r="N20" s="115">
        <v>10000</v>
      </c>
      <c r="O20" s="115"/>
      <c r="P20" s="116">
        <f>N20+O20</f>
        <v>10000</v>
      </c>
      <c r="Q20" s="115">
        <v>10000</v>
      </c>
      <c r="R20" s="102"/>
      <c r="S20" s="116">
        <f>Q20+R20</f>
        <v>10000</v>
      </c>
    </row>
    <row r="21" spans="1:19" ht="65.25" customHeight="1">
      <c r="A21" s="57" t="s">
        <v>379</v>
      </c>
      <c r="B21" s="15"/>
      <c r="C21" s="23" t="s">
        <v>36</v>
      </c>
      <c r="D21" s="24" t="s">
        <v>381</v>
      </c>
      <c r="E21" s="23"/>
      <c r="F21" s="39" t="e">
        <f>#REF!+#REF!+#REF!</f>
        <v>#REF!</v>
      </c>
      <c r="G21" s="27"/>
      <c r="H21" s="115">
        <f>H22+H40</f>
        <v>35231000</v>
      </c>
      <c r="N21" s="115">
        <f>N22+N40</f>
        <v>35231000</v>
      </c>
      <c r="O21" s="115"/>
      <c r="P21" s="115">
        <f>P22+P40</f>
        <v>35231000</v>
      </c>
      <c r="Q21" s="115">
        <f>Q22+Q40</f>
        <v>35231000</v>
      </c>
      <c r="R21" s="102"/>
      <c r="S21" s="115">
        <f>S22+S40</f>
        <v>35231000</v>
      </c>
    </row>
    <row r="22" spans="1:19" ht="72" customHeight="1">
      <c r="A22" s="41" t="s">
        <v>380</v>
      </c>
      <c r="B22" s="23"/>
      <c r="C22" s="23" t="s">
        <v>36</v>
      </c>
      <c r="D22" s="24" t="s">
        <v>382</v>
      </c>
      <c r="E22" s="23"/>
      <c r="F22" s="39" t="e">
        <f>F24+F25+F26+F27+F28+F29+#REF!+F30</f>
        <v>#REF!</v>
      </c>
      <c r="G22" s="27"/>
      <c r="H22" s="115">
        <f>H23+H31+H34</f>
        <v>35218500</v>
      </c>
      <c r="N22" s="115">
        <f>N23+N31+N34</f>
        <v>35218500</v>
      </c>
      <c r="O22" s="115"/>
      <c r="P22" s="115">
        <f>P23+P31+P34</f>
        <v>35218500</v>
      </c>
      <c r="Q22" s="115">
        <f>Q23+Q31+Q34</f>
        <v>35218500</v>
      </c>
      <c r="R22" s="102"/>
      <c r="S22" s="115">
        <f>S23+S31+S34</f>
        <v>35218500</v>
      </c>
    </row>
    <row r="23" spans="1:19" ht="35.25" customHeight="1">
      <c r="A23" s="73" t="s">
        <v>206</v>
      </c>
      <c r="B23" s="23"/>
      <c r="C23" s="24" t="s">
        <v>36</v>
      </c>
      <c r="D23" s="24" t="s">
        <v>384</v>
      </c>
      <c r="E23" s="23"/>
      <c r="F23" s="39"/>
      <c r="G23" s="27"/>
      <c r="H23" s="115">
        <f>H24+H25+H26+H27+H28+H29+H30</f>
        <v>14049980</v>
      </c>
      <c r="N23" s="115">
        <f>N24+N25+N26+N27+N28+N29+N30</f>
        <v>14049980</v>
      </c>
      <c r="O23" s="115"/>
      <c r="P23" s="115">
        <f>P24+P25+P26+P27+P28+P29+P30</f>
        <v>14049980</v>
      </c>
      <c r="Q23" s="115">
        <f>Q24+Q25+Q26+Q27+Q28+Q29+Q30</f>
        <v>14049980</v>
      </c>
      <c r="R23" s="102"/>
      <c r="S23" s="115">
        <f>S24+S25+S26+S27+S28+S29+S30</f>
        <v>14049980</v>
      </c>
    </row>
    <row r="24" spans="1:19" ht="18" customHeight="1">
      <c r="A24" s="41" t="s">
        <v>129</v>
      </c>
      <c r="B24" s="23"/>
      <c r="C24" s="23" t="s">
        <v>36</v>
      </c>
      <c r="D24" s="24" t="s">
        <v>384</v>
      </c>
      <c r="E24" s="23" t="s">
        <v>133</v>
      </c>
      <c r="F24" s="39">
        <v>0</v>
      </c>
      <c r="G24" s="27">
        <v>2233793</v>
      </c>
      <c r="H24" s="115">
        <v>2848840</v>
      </c>
      <c r="N24" s="115">
        <v>2848840</v>
      </c>
      <c r="O24" s="115"/>
      <c r="P24" s="116">
        <f aca="true" t="shared" si="0" ref="P24:P39">N24+O24</f>
        <v>2848840</v>
      </c>
      <c r="Q24" s="115">
        <v>2848840</v>
      </c>
      <c r="R24" s="102"/>
      <c r="S24" s="116">
        <f aca="true" t="shared" si="1" ref="S24:S39">Q24+R24</f>
        <v>2848840</v>
      </c>
    </row>
    <row r="25" spans="1:19" ht="34.5" customHeight="1">
      <c r="A25" s="41" t="s">
        <v>130</v>
      </c>
      <c r="B25" s="23"/>
      <c r="C25" s="23" t="s">
        <v>36</v>
      </c>
      <c r="D25" s="24" t="s">
        <v>384</v>
      </c>
      <c r="E25" s="23" t="s">
        <v>134</v>
      </c>
      <c r="F25" s="39">
        <v>0</v>
      </c>
      <c r="G25" s="27">
        <v>1450</v>
      </c>
      <c r="H25" s="115">
        <v>633</v>
      </c>
      <c r="N25" s="115">
        <v>633</v>
      </c>
      <c r="O25" s="115"/>
      <c r="P25" s="116">
        <f t="shared" si="0"/>
        <v>633</v>
      </c>
      <c r="Q25" s="115">
        <v>633</v>
      </c>
      <c r="R25" s="102"/>
      <c r="S25" s="116">
        <f t="shared" si="1"/>
        <v>633</v>
      </c>
    </row>
    <row r="26" spans="1:19" ht="22.5" customHeight="1">
      <c r="A26" s="41" t="s">
        <v>129</v>
      </c>
      <c r="B26" s="23"/>
      <c r="C26" s="23" t="s">
        <v>36</v>
      </c>
      <c r="D26" s="24" t="s">
        <v>384</v>
      </c>
      <c r="E26" s="23" t="s">
        <v>146</v>
      </c>
      <c r="F26" s="39">
        <v>0</v>
      </c>
      <c r="G26" s="27">
        <v>9071385</v>
      </c>
      <c r="H26" s="115">
        <v>8976035</v>
      </c>
      <c r="N26" s="115">
        <v>8976035</v>
      </c>
      <c r="O26" s="115"/>
      <c r="P26" s="116">
        <f t="shared" si="0"/>
        <v>8976035</v>
      </c>
      <c r="Q26" s="115">
        <v>8976035</v>
      </c>
      <c r="R26" s="102"/>
      <c r="S26" s="116">
        <f t="shared" si="1"/>
        <v>8976035</v>
      </c>
    </row>
    <row r="27" spans="1:19" ht="36" customHeight="1">
      <c r="A27" s="41" t="s">
        <v>130</v>
      </c>
      <c r="B27" s="23"/>
      <c r="C27" s="23" t="s">
        <v>36</v>
      </c>
      <c r="D27" s="24" t="s">
        <v>384</v>
      </c>
      <c r="E27" s="23" t="s">
        <v>147</v>
      </c>
      <c r="F27" s="39">
        <v>0</v>
      </c>
      <c r="G27" s="27">
        <v>90000</v>
      </c>
      <c r="H27" s="115">
        <v>65000</v>
      </c>
      <c r="N27" s="115">
        <v>65000</v>
      </c>
      <c r="O27" s="115"/>
      <c r="P27" s="116">
        <f t="shared" si="0"/>
        <v>65000</v>
      </c>
      <c r="Q27" s="115">
        <v>65000</v>
      </c>
      <c r="R27" s="102"/>
      <c r="S27" s="116">
        <f t="shared" si="1"/>
        <v>65000</v>
      </c>
    </row>
    <row r="28" spans="1:19" ht="34.5" customHeight="1">
      <c r="A28" s="41" t="s">
        <v>131</v>
      </c>
      <c r="B28" s="23"/>
      <c r="C28" s="23" t="s">
        <v>36</v>
      </c>
      <c r="D28" s="24" t="s">
        <v>384</v>
      </c>
      <c r="E28" s="23" t="s">
        <v>135</v>
      </c>
      <c r="F28" s="39">
        <v>0</v>
      </c>
      <c r="G28" s="27">
        <v>652206</v>
      </c>
      <c r="H28" s="115">
        <v>432050</v>
      </c>
      <c r="N28" s="115">
        <v>432050</v>
      </c>
      <c r="O28" s="115"/>
      <c r="P28" s="116">
        <f t="shared" si="0"/>
        <v>432050</v>
      </c>
      <c r="Q28" s="115">
        <v>432050</v>
      </c>
      <c r="R28" s="102"/>
      <c r="S28" s="116">
        <f t="shared" si="1"/>
        <v>432050</v>
      </c>
    </row>
    <row r="29" spans="1:19" ht="30.75" customHeight="1">
      <c r="A29" s="41" t="s">
        <v>161</v>
      </c>
      <c r="B29" s="23"/>
      <c r="C29" s="23" t="s">
        <v>36</v>
      </c>
      <c r="D29" s="24" t="s">
        <v>384</v>
      </c>
      <c r="E29" s="23" t="s">
        <v>136</v>
      </c>
      <c r="F29" s="39">
        <v>0</v>
      </c>
      <c r="G29" s="27">
        <v>3992666</v>
      </c>
      <c r="H29" s="115">
        <v>1719972</v>
      </c>
      <c r="N29" s="115">
        <v>1719972</v>
      </c>
      <c r="O29" s="115"/>
      <c r="P29" s="116">
        <f t="shared" si="0"/>
        <v>1719972</v>
      </c>
      <c r="Q29" s="115">
        <v>1719972</v>
      </c>
      <c r="R29" s="102"/>
      <c r="S29" s="116">
        <f t="shared" si="1"/>
        <v>1719972</v>
      </c>
    </row>
    <row r="30" spans="1:19" ht="21" customHeight="1">
      <c r="A30" s="41" t="s">
        <v>140</v>
      </c>
      <c r="B30" s="23"/>
      <c r="C30" s="23" t="s">
        <v>36</v>
      </c>
      <c r="D30" s="24" t="s">
        <v>384</v>
      </c>
      <c r="E30" s="23" t="s">
        <v>141</v>
      </c>
      <c r="F30" s="39">
        <v>0</v>
      </c>
      <c r="G30" s="27">
        <v>7096</v>
      </c>
      <c r="H30" s="115">
        <v>7450</v>
      </c>
      <c r="N30" s="115">
        <v>7450</v>
      </c>
      <c r="O30" s="115"/>
      <c r="P30" s="116">
        <f t="shared" si="0"/>
        <v>7450</v>
      </c>
      <c r="Q30" s="115">
        <v>7450</v>
      </c>
      <c r="R30" s="102"/>
      <c r="S30" s="116">
        <f t="shared" si="1"/>
        <v>7450</v>
      </c>
    </row>
    <row r="31" spans="1:19" ht="21" customHeight="1">
      <c r="A31" s="75" t="s">
        <v>387</v>
      </c>
      <c r="B31" s="23"/>
      <c r="C31" s="23" t="s">
        <v>36</v>
      </c>
      <c r="D31" s="24" t="s">
        <v>383</v>
      </c>
      <c r="E31" s="23"/>
      <c r="F31" s="39">
        <f>F32+F33</f>
        <v>0</v>
      </c>
      <c r="G31" s="27"/>
      <c r="H31" s="115">
        <f>H32+H33</f>
        <v>948667</v>
      </c>
      <c r="N31" s="115">
        <f>N32+N33</f>
        <v>948667</v>
      </c>
      <c r="O31" s="115"/>
      <c r="P31" s="115">
        <f>P32+P33</f>
        <v>948667</v>
      </c>
      <c r="Q31" s="115">
        <f>Q32+Q33</f>
        <v>948667</v>
      </c>
      <c r="R31" s="102"/>
      <c r="S31" s="115">
        <f>S32+S33</f>
        <v>948667</v>
      </c>
    </row>
    <row r="32" spans="1:19" ht="19.5" customHeight="1">
      <c r="A32" s="41" t="s">
        <v>129</v>
      </c>
      <c r="B32" s="23" t="s">
        <v>110</v>
      </c>
      <c r="C32" s="23" t="s">
        <v>36</v>
      </c>
      <c r="D32" s="24" t="s">
        <v>383</v>
      </c>
      <c r="E32" s="23" t="s">
        <v>146</v>
      </c>
      <c r="F32" s="39">
        <v>0</v>
      </c>
      <c r="G32" s="27">
        <v>919763</v>
      </c>
      <c r="H32" s="115">
        <v>928667</v>
      </c>
      <c r="N32" s="115">
        <v>928667</v>
      </c>
      <c r="O32" s="115"/>
      <c r="P32" s="116">
        <f t="shared" si="0"/>
        <v>928667</v>
      </c>
      <c r="Q32" s="115">
        <v>928667</v>
      </c>
      <c r="R32" s="102"/>
      <c r="S32" s="116">
        <f t="shared" si="1"/>
        <v>928667</v>
      </c>
    </row>
    <row r="33" spans="1:19" ht="34.5" customHeight="1">
      <c r="A33" s="41" t="s">
        <v>130</v>
      </c>
      <c r="B33" s="23" t="s">
        <v>110</v>
      </c>
      <c r="C33" s="23" t="s">
        <v>36</v>
      </c>
      <c r="D33" s="24" t="s">
        <v>383</v>
      </c>
      <c r="E33" s="23" t="s">
        <v>147</v>
      </c>
      <c r="F33" s="39">
        <v>0</v>
      </c>
      <c r="G33" s="27">
        <v>50000</v>
      </c>
      <c r="H33" s="115">
        <v>20000</v>
      </c>
      <c r="N33" s="115">
        <v>20000</v>
      </c>
      <c r="O33" s="115"/>
      <c r="P33" s="116">
        <f t="shared" si="0"/>
        <v>20000</v>
      </c>
      <c r="Q33" s="115">
        <v>20000</v>
      </c>
      <c r="R33" s="102"/>
      <c r="S33" s="116">
        <f t="shared" si="1"/>
        <v>20000</v>
      </c>
    </row>
    <row r="34" spans="1:19" ht="40.5" customHeight="1">
      <c r="A34" s="74" t="s">
        <v>386</v>
      </c>
      <c r="B34" s="23"/>
      <c r="C34" s="23" t="s">
        <v>36</v>
      </c>
      <c r="D34" s="24" t="s">
        <v>385</v>
      </c>
      <c r="E34" s="23"/>
      <c r="F34" s="39" t="e">
        <f>#REF!+F35+F37+#REF!+F38+F39+#REF!+#REF!</f>
        <v>#REF!</v>
      </c>
      <c r="G34" s="27"/>
      <c r="H34" s="115">
        <f>H35+H37+H38+H39+H36</f>
        <v>20219853</v>
      </c>
      <c r="I34" s="115">
        <f aca="true" t="shared" si="2" ref="I34:Q34">I35+I37+I38+I39+I36</f>
        <v>0</v>
      </c>
      <c r="J34" s="115">
        <f t="shared" si="2"/>
        <v>0</v>
      </c>
      <c r="K34" s="115">
        <f t="shared" si="2"/>
        <v>0</v>
      </c>
      <c r="L34" s="115">
        <f t="shared" si="2"/>
        <v>0</v>
      </c>
      <c r="M34" s="115">
        <f t="shared" si="2"/>
        <v>0</v>
      </c>
      <c r="N34" s="115">
        <f t="shared" si="2"/>
        <v>20219853</v>
      </c>
      <c r="O34" s="115"/>
      <c r="P34" s="115">
        <f t="shared" si="2"/>
        <v>20219853</v>
      </c>
      <c r="Q34" s="115">
        <f t="shared" si="2"/>
        <v>20219853</v>
      </c>
      <c r="R34" s="102"/>
      <c r="S34" s="115">
        <f>S35+S37+S38+S39+S36</f>
        <v>20219853</v>
      </c>
    </row>
    <row r="35" spans="1:19" ht="16.5" customHeight="1">
      <c r="A35" s="41" t="s">
        <v>129</v>
      </c>
      <c r="B35" s="23"/>
      <c r="C35" s="23" t="s">
        <v>36</v>
      </c>
      <c r="D35" s="24" t="s">
        <v>385</v>
      </c>
      <c r="E35" s="23" t="s">
        <v>133</v>
      </c>
      <c r="F35" s="39">
        <v>0</v>
      </c>
      <c r="G35" s="27">
        <v>1591415</v>
      </c>
      <c r="H35" s="115">
        <v>1573962</v>
      </c>
      <c r="N35" s="115">
        <v>1573962</v>
      </c>
      <c r="O35" s="115"/>
      <c r="P35" s="116">
        <f t="shared" si="0"/>
        <v>1573962</v>
      </c>
      <c r="Q35" s="115">
        <v>1573962</v>
      </c>
      <c r="R35" s="102"/>
      <c r="S35" s="116">
        <f t="shared" si="1"/>
        <v>1573962</v>
      </c>
    </row>
    <row r="36" spans="1:19" ht="36" customHeight="1">
      <c r="A36" s="41" t="s">
        <v>130</v>
      </c>
      <c r="B36" s="23"/>
      <c r="C36" s="23" t="s">
        <v>36</v>
      </c>
      <c r="D36" s="24" t="s">
        <v>385</v>
      </c>
      <c r="E36" s="24" t="s">
        <v>134</v>
      </c>
      <c r="F36" s="39"/>
      <c r="G36" s="27"/>
      <c r="H36" s="115">
        <v>288</v>
      </c>
      <c r="N36" s="115">
        <v>288</v>
      </c>
      <c r="O36" s="115"/>
      <c r="P36" s="116">
        <f t="shared" si="0"/>
        <v>288</v>
      </c>
      <c r="Q36" s="115">
        <v>288</v>
      </c>
      <c r="R36" s="102"/>
      <c r="S36" s="116">
        <f t="shared" si="1"/>
        <v>288</v>
      </c>
    </row>
    <row r="37" spans="1:19" ht="18" customHeight="1">
      <c r="A37" s="41" t="s">
        <v>129</v>
      </c>
      <c r="B37" s="23"/>
      <c r="C37" s="23" t="s">
        <v>36</v>
      </c>
      <c r="D37" s="24" t="s">
        <v>385</v>
      </c>
      <c r="E37" s="23" t="s">
        <v>146</v>
      </c>
      <c r="F37" s="39">
        <v>0</v>
      </c>
      <c r="G37" s="27">
        <v>11874980</v>
      </c>
      <c r="H37" s="115">
        <v>12323382</v>
      </c>
      <c r="N37" s="115">
        <v>12323382</v>
      </c>
      <c r="O37" s="115"/>
      <c r="P37" s="116">
        <f t="shared" si="0"/>
        <v>12323382</v>
      </c>
      <c r="Q37" s="115">
        <v>12323382</v>
      </c>
      <c r="R37" s="102"/>
      <c r="S37" s="116">
        <f t="shared" si="1"/>
        <v>12323382</v>
      </c>
    </row>
    <row r="38" spans="1:19" ht="19.5" customHeight="1">
      <c r="A38" s="41" t="s">
        <v>131</v>
      </c>
      <c r="B38" s="23"/>
      <c r="C38" s="23" t="s">
        <v>36</v>
      </c>
      <c r="D38" s="24" t="s">
        <v>385</v>
      </c>
      <c r="E38" s="23" t="s">
        <v>135</v>
      </c>
      <c r="F38" s="39">
        <v>0</v>
      </c>
      <c r="G38" s="27">
        <v>451681</v>
      </c>
      <c r="H38" s="115">
        <v>554900</v>
      </c>
      <c r="N38" s="115">
        <v>554900</v>
      </c>
      <c r="O38" s="115"/>
      <c r="P38" s="116">
        <f t="shared" si="0"/>
        <v>554900</v>
      </c>
      <c r="Q38" s="115">
        <v>554900</v>
      </c>
      <c r="R38" s="102"/>
      <c r="S38" s="116">
        <f t="shared" si="1"/>
        <v>554900</v>
      </c>
    </row>
    <row r="39" spans="1:19" ht="31.5" customHeight="1">
      <c r="A39" s="41" t="s">
        <v>161</v>
      </c>
      <c r="B39" s="23"/>
      <c r="C39" s="23" t="s">
        <v>36</v>
      </c>
      <c r="D39" s="24" t="s">
        <v>385</v>
      </c>
      <c r="E39" s="23" t="s">
        <v>136</v>
      </c>
      <c r="F39" s="39">
        <v>0</v>
      </c>
      <c r="G39" s="27">
        <v>5618424</v>
      </c>
      <c r="H39" s="115">
        <v>5767321</v>
      </c>
      <c r="N39" s="115">
        <v>5767321</v>
      </c>
      <c r="O39" s="115"/>
      <c r="P39" s="116">
        <f t="shared" si="0"/>
        <v>5767321</v>
      </c>
      <c r="Q39" s="115">
        <v>5767321</v>
      </c>
      <c r="R39" s="102"/>
      <c r="S39" s="116">
        <f t="shared" si="1"/>
        <v>5767321</v>
      </c>
    </row>
    <row r="40" spans="1:19" ht="54.75" customHeight="1">
      <c r="A40" s="33" t="s">
        <v>401</v>
      </c>
      <c r="B40" s="17"/>
      <c r="C40" s="24" t="s">
        <v>36</v>
      </c>
      <c r="D40" s="24" t="s">
        <v>402</v>
      </c>
      <c r="E40" s="23"/>
      <c r="F40" s="39" t="e">
        <f>F47+F41</f>
        <v>#REF!</v>
      </c>
      <c r="G40" s="27"/>
      <c r="H40" s="115">
        <f>H41</f>
        <v>12500</v>
      </c>
      <c r="N40" s="115">
        <f>N41</f>
        <v>12500</v>
      </c>
      <c r="O40" s="115"/>
      <c r="P40" s="115">
        <f>P41</f>
        <v>12500</v>
      </c>
      <c r="Q40" s="115">
        <f>Q41</f>
        <v>12500</v>
      </c>
      <c r="R40" s="102"/>
      <c r="S40" s="115">
        <f>S41</f>
        <v>12500</v>
      </c>
    </row>
    <row r="41" spans="1:19" ht="36" customHeight="1">
      <c r="A41" s="77" t="s">
        <v>403</v>
      </c>
      <c r="B41" s="25"/>
      <c r="C41" s="24" t="s">
        <v>36</v>
      </c>
      <c r="D41" s="24" t="s">
        <v>483</v>
      </c>
      <c r="E41" s="23"/>
      <c r="F41" s="39" t="e">
        <f>F43+#REF!</f>
        <v>#REF!</v>
      </c>
      <c r="G41" s="27"/>
      <c r="H41" s="115">
        <f>H43+H42</f>
        <v>12500</v>
      </c>
      <c r="N41" s="115">
        <f>N43+N42</f>
        <v>12500</v>
      </c>
      <c r="O41" s="115"/>
      <c r="P41" s="115">
        <f>P43+P42</f>
        <v>12500</v>
      </c>
      <c r="Q41" s="115">
        <f>Q43+Q42</f>
        <v>12500</v>
      </c>
      <c r="R41" s="102"/>
      <c r="S41" s="115">
        <f>S43+S42</f>
        <v>12500</v>
      </c>
    </row>
    <row r="42" spans="1:19" ht="36" customHeight="1">
      <c r="A42" s="41" t="s">
        <v>130</v>
      </c>
      <c r="B42" s="25"/>
      <c r="C42" s="24" t="s">
        <v>36</v>
      </c>
      <c r="D42" s="24" t="s">
        <v>483</v>
      </c>
      <c r="E42" s="24" t="s">
        <v>147</v>
      </c>
      <c r="F42" s="39"/>
      <c r="G42" s="27"/>
      <c r="H42" s="115">
        <v>1000</v>
      </c>
      <c r="N42" s="115">
        <v>1000</v>
      </c>
      <c r="O42" s="115"/>
      <c r="P42" s="116">
        <f>N42+O42</f>
        <v>1000</v>
      </c>
      <c r="Q42" s="115">
        <v>1000</v>
      </c>
      <c r="R42" s="102"/>
      <c r="S42" s="116">
        <f>Q42+R42</f>
        <v>1000</v>
      </c>
    </row>
    <row r="43" spans="1:19" ht="45" customHeight="1">
      <c r="A43" s="50" t="s">
        <v>161</v>
      </c>
      <c r="B43" s="25"/>
      <c r="C43" s="24" t="s">
        <v>36</v>
      </c>
      <c r="D43" s="24" t="s">
        <v>483</v>
      </c>
      <c r="E43" s="24" t="s">
        <v>136</v>
      </c>
      <c r="F43" s="39">
        <v>0</v>
      </c>
      <c r="G43" s="27">
        <v>2066900</v>
      </c>
      <c r="H43" s="115">
        <v>11500</v>
      </c>
      <c r="N43" s="115">
        <v>11500</v>
      </c>
      <c r="O43" s="115"/>
      <c r="P43" s="116">
        <f>N43+O43</f>
        <v>11500</v>
      </c>
      <c r="Q43" s="115">
        <v>11500</v>
      </c>
      <c r="R43" s="102"/>
      <c r="S43" s="116">
        <f>Q43+R43</f>
        <v>11500</v>
      </c>
    </row>
    <row r="44" spans="1:19" ht="66.75" customHeight="1">
      <c r="A44" s="33" t="s">
        <v>393</v>
      </c>
      <c r="B44" s="23"/>
      <c r="C44" s="24" t="s">
        <v>107</v>
      </c>
      <c r="D44" s="24" t="s">
        <v>394</v>
      </c>
      <c r="E44" s="23"/>
      <c r="F44" s="39"/>
      <c r="G44" s="27"/>
      <c r="H44" s="115">
        <v>0</v>
      </c>
      <c r="I44" s="134"/>
      <c r="J44" s="134"/>
      <c r="K44" s="134"/>
      <c r="L44" s="134"/>
      <c r="M44" s="134"/>
      <c r="N44" s="115">
        <v>0</v>
      </c>
      <c r="O44" s="115"/>
      <c r="P44" s="115">
        <v>0</v>
      </c>
      <c r="Q44" s="124">
        <f>Q45</f>
        <v>16900</v>
      </c>
      <c r="R44" s="102"/>
      <c r="S44" s="124">
        <f>S45</f>
        <v>16900</v>
      </c>
    </row>
    <row r="45" spans="1:19" ht="54.75" customHeight="1">
      <c r="A45" s="50" t="s">
        <v>476</v>
      </c>
      <c r="B45" s="23"/>
      <c r="C45" s="24" t="s">
        <v>107</v>
      </c>
      <c r="D45" s="24" t="s">
        <v>475</v>
      </c>
      <c r="E45" s="23"/>
      <c r="F45" s="39"/>
      <c r="G45" s="27"/>
      <c r="H45" s="115">
        <v>0</v>
      </c>
      <c r="I45" s="134"/>
      <c r="J45" s="134"/>
      <c r="K45" s="134"/>
      <c r="L45" s="134"/>
      <c r="M45" s="134"/>
      <c r="N45" s="115">
        <v>0</v>
      </c>
      <c r="O45" s="115"/>
      <c r="P45" s="115">
        <v>0</v>
      </c>
      <c r="Q45" s="124">
        <f>Q46</f>
        <v>16900</v>
      </c>
      <c r="R45" s="102"/>
      <c r="S45" s="124">
        <f>S46</f>
        <v>16900</v>
      </c>
    </row>
    <row r="46" spans="1:19" ht="35.25" customHeight="1">
      <c r="A46" s="41" t="s">
        <v>161</v>
      </c>
      <c r="B46" s="23"/>
      <c r="C46" s="24" t="s">
        <v>107</v>
      </c>
      <c r="D46" s="24" t="s">
        <v>475</v>
      </c>
      <c r="E46" s="24" t="s">
        <v>136</v>
      </c>
      <c r="F46" s="39"/>
      <c r="G46" s="27"/>
      <c r="H46" s="115">
        <v>0</v>
      </c>
      <c r="N46" s="124">
        <v>0</v>
      </c>
      <c r="O46" s="124"/>
      <c r="P46" s="116">
        <f>N46+O46</f>
        <v>0</v>
      </c>
      <c r="Q46" s="124">
        <v>16900</v>
      </c>
      <c r="R46" s="102"/>
      <c r="S46" s="116">
        <f>Q46+R46</f>
        <v>16900</v>
      </c>
    </row>
    <row r="47" spans="1:19" ht="49.5" customHeight="1">
      <c r="A47" s="50" t="s">
        <v>90</v>
      </c>
      <c r="B47" s="26"/>
      <c r="C47" s="23" t="s">
        <v>37</v>
      </c>
      <c r="D47" s="23"/>
      <c r="E47" s="23"/>
      <c r="F47" s="39" t="e">
        <f>F48+F64+#REF!</f>
        <v>#REF!</v>
      </c>
      <c r="G47" s="27"/>
      <c r="H47" s="115">
        <f>H48+H57</f>
        <v>7840600</v>
      </c>
      <c r="N47" s="115">
        <f>N48+N57</f>
        <v>7836800</v>
      </c>
      <c r="O47" s="115"/>
      <c r="P47" s="115">
        <f>P48+P57</f>
        <v>7836800</v>
      </c>
      <c r="Q47" s="115">
        <f>Q48+Q57</f>
        <v>7836800</v>
      </c>
      <c r="R47" s="102"/>
      <c r="S47" s="115">
        <f>S48+S57</f>
        <v>7836800</v>
      </c>
    </row>
    <row r="48" spans="1:19" ht="66" customHeight="1">
      <c r="A48" s="82" t="s">
        <v>183</v>
      </c>
      <c r="B48" s="23"/>
      <c r="C48" s="23" t="s">
        <v>37</v>
      </c>
      <c r="D48" s="24" t="s">
        <v>182</v>
      </c>
      <c r="E48" s="23"/>
      <c r="F48" s="39" t="e">
        <f>#REF!+F59</f>
        <v>#REF!</v>
      </c>
      <c r="G48" s="27"/>
      <c r="H48" s="115">
        <f>H49</f>
        <v>6522000</v>
      </c>
      <c r="N48" s="115">
        <f>N49</f>
        <v>6522000</v>
      </c>
      <c r="O48" s="115"/>
      <c r="P48" s="115">
        <f>P49</f>
        <v>6522000</v>
      </c>
      <c r="Q48" s="115">
        <f>Q49</f>
        <v>6522000</v>
      </c>
      <c r="R48" s="102"/>
      <c r="S48" s="115">
        <f>S49</f>
        <v>6522000</v>
      </c>
    </row>
    <row r="49" spans="1:19" ht="66.75" customHeight="1">
      <c r="A49" s="41" t="s">
        <v>187</v>
      </c>
      <c r="B49" s="23"/>
      <c r="C49" s="24" t="s">
        <v>37</v>
      </c>
      <c r="D49" s="24" t="s">
        <v>490</v>
      </c>
      <c r="E49" s="24"/>
      <c r="F49" s="39"/>
      <c r="G49" s="27"/>
      <c r="H49" s="115">
        <f>H50+H51+H52+H53+H54+H55+H56</f>
        <v>6522000</v>
      </c>
      <c r="N49" s="115">
        <f>N50+N51+N52+N53+N54+N55+N56</f>
        <v>6522000</v>
      </c>
      <c r="O49" s="115"/>
      <c r="P49" s="115">
        <f>P50+P51+P52+P53+P54+P55+P56</f>
        <v>6522000</v>
      </c>
      <c r="Q49" s="115">
        <f>Q50+Q51+Q52+Q53+Q54+Q55+Q56</f>
        <v>6522000</v>
      </c>
      <c r="R49" s="102"/>
      <c r="S49" s="115">
        <f>S50+S51+S52+S53+S54+S55+S56</f>
        <v>6522000</v>
      </c>
    </row>
    <row r="50" spans="1:19" ht="27" customHeight="1">
      <c r="A50" s="41" t="s">
        <v>129</v>
      </c>
      <c r="B50" s="23" t="s">
        <v>153</v>
      </c>
      <c r="C50" s="23" t="s">
        <v>37</v>
      </c>
      <c r="D50" s="24" t="s">
        <v>188</v>
      </c>
      <c r="E50" s="23" t="s">
        <v>133</v>
      </c>
      <c r="F50" s="80">
        <v>0</v>
      </c>
      <c r="G50" s="27">
        <f>550815</f>
        <v>550815</v>
      </c>
      <c r="H50" s="116">
        <v>573234</v>
      </c>
      <c r="N50" s="116">
        <v>573234</v>
      </c>
      <c r="O50" s="116"/>
      <c r="P50" s="116">
        <f aca="true" t="shared" si="3" ref="P50:P56">N50+O50</f>
        <v>573234</v>
      </c>
      <c r="Q50" s="116">
        <v>573234</v>
      </c>
      <c r="R50" s="102"/>
      <c r="S50" s="116">
        <f aca="true" t="shared" si="4" ref="S50:S56">Q50+R50</f>
        <v>573234</v>
      </c>
    </row>
    <row r="51" spans="1:19" ht="37.5" customHeight="1">
      <c r="A51" s="41" t="s">
        <v>130</v>
      </c>
      <c r="B51" s="23"/>
      <c r="C51" s="23" t="s">
        <v>37</v>
      </c>
      <c r="D51" s="24" t="s">
        <v>188</v>
      </c>
      <c r="E51" s="23" t="s">
        <v>134</v>
      </c>
      <c r="F51" s="80">
        <v>0</v>
      </c>
      <c r="G51" s="27">
        <v>17200</v>
      </c>
      <c r="H51" s="116">
        <v>10200</v>
      </c>
      <c r="N51" s="116">
        <v>10200</v>
      </c>
      <c r="O51" s="116"/>
      <c r="P51" s="116">
        <f t="shared" si="3"/>
        <v>10200</v>
      </c>
      <c r="Q51" s="116">
        <v>10200</v>
      </c>
      <c r="R51" s="102"/>
      <c r="S51" s="116">
        <f t="shared" si="4"/>
        <v>10200</v>
      </c>
    </row>
    <row r="52" spans="1:19" ht="21" customHeight="1">
      <c r="A52" s="41" t="s">
        <v>129</v>
      </c>
      <c r="B52" s="23"/>
      <c r="C52" s="23" t="s">
        <v>37</v>
      </c>
      <c r="D52" s="24" t="s">
        <v>188</v>
      </c>
      <c r="E52" s="23" t="s">
        <v>146</v>
      </c>
      <c r="F52" s="80">
        <v>0</v>
      </c>
      <c r="G52" s="27">
        <f>5079385+654122</f>
        <v>5733507</v>
      </c>
      <c r="H52" s="116">
        <v>5053440</v>
      </c>
      <c r="N52" s="116">
        <v>5053440</v>
      </c>
      <c r="O52" s="116"/>
      <c r="P52" s="116">
        <f t="shared" si="3"/>
        <v>5053440</v>
      </c>
      <c r="Q52" s="116">
        <v>5053440</v>
      </c>
      <c r="R52" s="102"/>
      <c r="S52" s="116">
        <f t="shared" si="4"/>
        <v>5053440</v>
      </c>
    </row>
    <row r="53" spans="1:19" ht="33.75" customHeight="1">
      <c r="A53" s="41" t="s">
        <v>130</v>
      </c>
      <c r="B53" s="23"/>
      <c r="C53" s="23" t="s">
        <v>37</v>
      </c>
      <c r="D53" s="24" t="s">
        <v>188</v>
      </c>
      <c r="E53" s="23" t="s">
        <v>147</v>
      </c>
      <c r="F53" s="80">
        <v>0</v>
      </c>
      <c r="G53" s="27">
        <f>9600+1945</f>
        <v>11545</v>
      </c>
      <c r="H53" s="116">
        <v>4000</v>
      </c>
      <c r="N53" s="116">
        <v>4000</v>
      </c>
      <c r="O53" s="116"/>
      <c r="P53" s="116">
        <f t="shared" si="3"/>
        <v>4000</v>
      </c>
      <c r="Q53" s="116">
        <v>4000</v>
      </c>
      <c r="R53" s="102"/>
      <c r="S53" s="116">
        <f t="shared" si="4"/>
        <v>4000</v>
      </c>
    </row>
    <row r="54" spans="1:19" ht="47.25">
      <c r="A54" s="41" t="s">
        <v>131</v>
      </c>
      <c r="B54" s="23" t="s">
        <v>153</v>
      </c>
      <c r="C54" s="23" t="s">
        <v>37</v>
      </c>
      <c r="D54" s="24" t="s">
        <v>188</v>
      </c>
      <c r="E54" s="23" t="s">
        <v>135</v>
      </c>
      <c r="F54" s="80">
        <v>0</v>
      </c>
      <c r="G54" s="27">
        <f>938300+26000</f>
        <v>964300</v>
      </c>
      <c r="H54" s="116">
        <v>655033</v>
      </c>
      <c r="N54" s="116">
        <v>655033</v>
      </c>
      <c r="O54" s="116"/>
      <c r="P54" s="116">
        <f t="shared" si="3"/>
        <v>655033</v>
      </c>
      <c r="Q54" s="116">
        <v>655033</v>
      </c>
      <c r="R54" s="102"/>
      <c r="S54" s="116">
        <f t="shared" si="4"/>
        <v>655033</v>
      </c>
    </row>
    <row r="55" spans="1:19" ht="36" customHeight="1">
      <c r="A55" s="50" t="s">
        <v>161</v>
      </c>
      <c r="B55" s="23" t="s">
        <v>153</v>
      </c>
      <c r="C55" s="23" t="s">
        <v>37</v>
      </c>
      <c r="D55" s="24" t="s">
        <v>188</v>
      </c>
      <c r="E55" s="23" t="s">
        <v>136</v>
      </c>
      <c r="F55" s="80">
        <v>0</v>
      </c>
      <c r="G55" s="27">
        <f>615700+27460</f>
        <v>643160</v>
      </c>
      <c r="H55" s="116">
        <v>225493</v>
      </c>
      <c r="N55" s="116">
        <v>225493</v>
      </c>
      <c r="O55" s="116"/>
      <c r="P55" s="116">
        <f t="shared" si="3"/>
        <v>225493</v>
      </c>
      <c r="Q55" s="116">
        <v>225493</v>
      </c>
      <c r="R55" s="102"/>
      <c r="S55" s="116">
        <f t="shared" si="4"/>
        <v>225493</v>
      </c>
    </row>
    <row r="56" spans="1:19" ht="36" customHeight="1">
      <c r="A56" s="41" t="s">
        <v>132</v>
      </c>
      <c r="B56" s="23" t="s">
        <v>153</v>
      </c>
      <c r="C56" s="23" t="s">
        <v>37</v>
      </c>
      <c r="D56" s="24" t="s">
        <v>188</v>
      </c>
      <c r="E56" s="23" t="s">
        <v>137</v>
      </c>
      <c r="F56" s="80">
        <v>0</v>
      </c>
      <c r="G56" s="27">
        <v>600</v>
      </c>
      <c r="H56" s="116">
        <f>F56+G56</f>
        <v>600</v>
      </c>
      <c r="N56" s="116">
        <v>600</v>
      </c>
      <c r="O56" s="116"/>
      <c r="P56" s="116">
        <f t="shared" si="3"/>
        <v>600</v>
      </c>
      <c r="Q56" s="116">
        <v>600</v>
      </c>
      <c r="R56" s="102"/>
      <c r="S56" s="116">
        <f t="shared" si="4"/>
        <v>600</v>
      </c>
    </row>
    <row r="57" spans="1:19" ht="21" customHeight="1">
      <c r="A57" s="22" t="s">
        <v>180</v>
      </c>
      <c r="B57" s="23"/>
      <c r="C57" s="23" t="s">
        <v>37</v>
      </c>
      <c r="D57" s="24" t="s">
        <v>181</v>
      </c>
      <c r="E57" s="23"/>
      <c r="F57" s="145" t="e">
        <f>SUM(F58+F63)</f>
        <v>#REF!</v>
      </c>
      <c r="G57" s="13"/>
      <c r="H57" s="115">
        <f>SUM(H58+H63)</f>
        <v>1318600</v>
      </c>
      <c r="N57" s="115">
        <f>SUM(N58+N63)</f>
        <v>1314800</v>
      </c>
      <c r="O57" s="115"/>
      <c r="P57" s="115">
        <f>SUM(P58+P63)</f>
        <v>1314800</v>
      </c>
      <c r="Q57" s="115">
        <f>SUM(Q58+Q63)</f>
        <v>1314800</v>
      </c>
      <c r="R57" s="102"/>
      <c r="S57" s="115">
        <f>SUM(S58+S63)</f>
        <v>1314800</v>
      </c>
    </row>
    <row r="58" spans="1:19" ht="15.75">
      <c r="A58" s="50" t="s">
        <v>35</v>
      </c>
      <c r="B58" s="23"/>
      <c r="C58" s="23" t="s">
        <v>37</v>
      </c>
      <c r="D58" s="24" t="s">
        <v>178</v>
      </c>
      <c r="E58" s="23"/>
      <c r="F58" s="145" t="e">
        <f>#REF!+F59+F60+F61+F62+#REF!+#REF!</f>
        <v>#REF!</v>
      </c>
      <c r="G58" s="13"/>
      <c r="H58" s="115">
        <f>H59+H60+H61+H62</f>
        <v>752079</v>
      </c>
      <c r="I58" s="115">
        <f aca="true" t="shared" si="5" ref="I58:Q58">I59+I60+I61+I62</f>
        <v>0</v>
      </c>
      <c r="J58" s="115">
        <f t="shared" si="5"/>
        <v>0</v>
      </c>
      <c r="K58" s="115">
        <f t="shared" si="5"/>
        <v>0</v>
      </c>
      <c r="L58" s="115">
        <f t="shared" si="5"/>
        <v>0</v>
      </c>
      <c r="M58" s="115">
        <f t="shared" si="5"/>
        <v>0</v>
      </c>
      <c r="N58" s="115">
        <f t="shared" si="5"/>
        <v>751479</v>
      </c>
      <c r="O58" s="115"/>
      <c r="P58" s="115">
        <f>P59+P60+P61+P62</f>
        <v>751479</v>
      </c>
      <c r="Q58" s="115">
        <f t="shared" si="5"/>
        <v>751479</v>
      </c>
      <c r="R58" s="102"/>
      <c r="S58" s="115">
        <f>S59+S60+S61+S62</f>
        <v>751479</v>
      </c>
    </row>
    <row r="59" spans="1:19" ht="16.5" customHeight="1">
      <c r="A59" s="41" t="s">
        <v>129</v>
      </c>
      <c r="B59" s="23"/>
      <c r="C59" s="23" t="s">
        <v>37</v>
      </c>
      <c r="D59" s="24" t="s">
        <v>178</v>
      </c>
      <c r="E59" s="23" t="s">
        <v>146</v>
      </c>
      <c r="F59" s="145">
        <v>0</v>
      </c>
      <c r="G59" s="13">
        <f>5079385+654122</f>
        <v>5733507</v>
      </c>
      <c r="H59" s="115">
        <v>712139</v>
      </c>
      <c r="N59" s="115">
        <v>712139</v>
      </c>
      <c r="O59" s="115"/>
      <c r="P59" s="116">
        <f aca="true" t="shared" si="6" ref="P59:P65">N59+O59</f>
        <v>712139</v>
      </c>
      <c r="Q59" s="115">
        <v>712139</v>
      </c>
      <c r="R59" s="102"/>
      <c r="S59" s="116">
        <f aca="true" t="shared" si="7" ref="S59:S65">Q59+R59</f>
        <v>712139</v>
      </c>
    </row>
    <row r="60" spans="1:19" ht="30" customHeight="1">
      <c r="A60" s="41" t="s">
        <v>130</v>
      </c>
      <c r="B60" s="23"/>
      <c r="C60" s="23" t="s">
        <v>37</v>
      </c>
      <c r="D60" s="24" t="s">
        <v>178</v>
      </c>
      <c r="E60" s="23" t="s">
        <v>147</v>
      </c>
      <c r="F60" s="145">
        <v>0</v>
      </c>
      <c r="G60" s="13">
        <f>9600+1945</f>
        <v>11545</v>
      </c>
      <c r="H60" s="115">
        <v>2290</v>
      </c>
      <c r="N60" s="115">
        <v>2290</v>
      </c>
      <c r="O60" s="115"/>
      <c r="P60" s="116">
        <f t="shared" si="6"/>
        <v>2290</v>
      </c>
      <c r="Q60" s="115">
        <v>2290</v>
      </c>
      <c r="R60" s="102"/>
      <c r="S60" s="116">
        <f t="shared" si="7"/>
        <v>2290</v>
      </c>
    </row>
    <row r="61" spans="1:19" ht="34.5" customHeight="1">
      <c r="A61" s="41" t="s">
        <v>131</v>
      </c>
      <c r="B61" s="23" t="s">
        <v>153</v>
      </c>
      <c r="C61" s="23" t="s">
        <v>37</v>
      </c>
      <c r="D61" s="24" t="s">
        <v>178</v>
      </c>
      <c r="E61" s="23" t="s">
        <v>135</v>
      </c>
      <c r="F61" s="145">
        <v>0</v>
      </c>
      <c r="G61" s="13">
        <f>938300+26000</f>
        <v>964300</v>
      </c>
      <c r="H61" s="115">
        <v>11000</v>
      </c>
      <c r="N61" s="115">
        <v>11000</v>
      </c>
      <c r="O61" s="115"/>
      <c r="P61" s="116">
        <f t="shared" si="6"/>
        <v>11000</v>
      </c>
      <c r="Q61" s="115">
        <v>11000</v>
      </c>
      <c r="R61" s="102"/>
      <c r="S61" s="116">
        <f t="shared" si="7"/>
        <v>11000</v>
      </c>
    </row>
    <row r="62" spans="1:19" ht="35.25" customHeight="1">
      <c r="A62" s="41" t="s">
        <v>161</v>
      </c>
      <c r="B62" s="23" t="s">
        <v>153</v>
      </c>
      <c r="C62" s="23" t="s">
        <v>37</v>
      </c>
      <c r="D62" s="24" t="s">
        <v>178</v>
      </c>
      <c r="E62" s="23" t="s">
        <v>136</v>
      </c>
      <c r="F62" s="145">
        <v>0</v>
      </c>
      <c r="G62" s="13">
        <f>615700+27460</f>
        <v>643160</v>
      </c>
      <c r="H62" s="115">
        <v>26650</v>
      </c>
      <c r="N62" s="115">
        <v>26050</v>
      </c>
      <c r="O62" s="115"/>
      <c r="P62" s="116">
        <f t="shared" si="6"/>
        <v>26050</v>
      </c>
      <c r="Q62" s="115">
        <v>26050</v>
      </c>
      <c r="R62" s="102"/>
      <c r="S62" s="116">
        <f t="shared" si="7"/>
        <v>26050</v>
      </c>
    </row>
    <row r="63" spans="1:19" ht="20.25" customHeight="1">
      <c r="A63" s="50" t="s">
        <v>91</v>
      </c>
      <c r="B63" s="23"/>
      <c r="C63" s="23" t="s">
        <v>37</v>
      </c>
      <c r="D63" s="24" t="s">
        <v>179</v>
      </c>
      <c r="E63" s="23"/>
      <c r="F63" s="145">
        <f>F65+F64</f>
        <v>0</v>
      </c>
      <c r="G63" s="13"/>
      <c r="H63" s="115">
        <f>H65+H64</f>
        <v>566521</v>
      </c>
      <c r="N63" s="115">
        <f>N65+N64</f>
        <v>563321</v>
      </c>
      <c r="O63" s="115"/>
      <c r="P63" s="115">
        <f>P65+P64</f>
        <v>563321</v>
      </c>
      <c r="Q63" s="115">
        <f>Q65+Q64</f>
        <v>563321</v>
      </c>
      <c r="R63" s="102"/>
      <c r="S63" s="115">
        <f>S65+S64</f>
        <v>563321</v>
      </c>
    </row>
    <row r="64" spans="1:19" ht="20.25" customHeight="1">
      <c r="A64" s="41" t="s">
        <v>129</v>
      </c>
      <c r="B64" s="23"/>
      <c r="C64" s="23" t="s">
        <v>37</v>
      </c>
      <c r="D64" s="24" t="s">
        <v>179</v>
      </c>
      <c r="E64" s="23" t="s">
        <v>146</v>
      </c>
      <c r="F64" s="145">
        <v>0</v>
      </c>
      <c r="G64" s="13">
        <v>603273</v>
      </c>
      <c r="H64" s="115">
        <v>563321</v>
      </c>
      <c r="N64" s="115">
        <v>563321</v>
      </c>
      <c r="O64" s="115"/>
      <c r="P64" s="116">
        <f t="shared" si="6"/>
        <v>563321</v>
      </c>
      <c r="Q64" s="115">
        <v>563321</v>
      </c>
      <c r="R64" s="102"/>
      <c r="S64" s="116">
        <f t="shared" si="7"/>
        <v>563321</v>
      </c>
    </row>
    <row r="65" spans="1:19" ht="30" customHeight="1">
      <c r="A65" s="41" t="s">
        <v>130</v>
      </c>
      <c r="B65" s="23"/>
      <c r="C65" s="23" t="s">
        <v>37</v>
      </c>
      <c r="D65" s="24" t="s">
        <v>179</v>
      </c>
      <c r="E65" s="23" t="s">
        <v>147</v>
      </c>
      <c r="F65" s="145">
        <v>0</v>
      </c>
      <c r="G65" s="13">
        <v>3200</v>
      </c>
      <c r="H65" s="115">
        <f>F65+G65</f>
        <v>3200</v>
      </c>
      <c r="N65" s="115">
        <f>L65+M65</f>
        <v>0</v>
      </c>
      <c r="O65" s="115"/>
      <c r="P65" s="116">
        <f t="shared" si="6"/>
        <v>0</v>
      </c>
      <c r="Q65" s="115">
        <f>M65+N65</f>
        <v>0</v>
      </c>
      <c r="R65" s="102"/>
      <c r="S65" s="116">
        <f t="shared" si="7"/>
        <v>0</v>
      </c>
    </row>
    <row r="66" spans="1:19" ht="20.25" customHeight="1">
      <c r="A66" s="61" t="s">
        <v>421</v>
      </c>
      <c r="B66" s="23" t="s">
        <v>110</v>
      </c>
      <c r="C66" s="23" t="s">
        <v>92</v>
      </c>
      <c r="D66" s="24" t="s">
        <v>181</v>
      </c>
      <c r="E66" s="79"/>
      <c r="F66" s="39">
        <f>F67</f>
        <v>0</v>
      </c>
      <c r="G66" s="27"/>
      <c r="H66" s="115">
        <f>H67</f>
        <v>200000</v>
      </c>
      <c r="N66" s="115">
        <f>N67</f>
        <v>200000</v>
      </c>
      <c r="O66" s="115"/>
      <c r="P66" s="115">
        <f>P67</f>
        <v>200000</v>
      </c>
      <c r="Q66" s="115">
        <f>Q67</f>
        <v>200000</v>
      </c>
      <c r="R66" s="102"/>
      <c r="S66" s="115">
        <f>S67</f>
        <v>200000</v>
      </c>
    </row>
    <row r="67" spans="1:19" ht="19.5" customHeight="1">
      <c r="A67" s="66" t="s">
        <v>128</v>
      </c>
      <c r="B67" s="29" t="s">
        <v>110</v>
      </c>
      <c r="C67" s="23" t="s">
        <v>92</v>
      </c>
      <c r="D67" s="24" t="s">
        <v>414</v>
      </c>
      <c r="E67" s="29"/>
      <c r="F67" s="39">
        <f>F68</f>
        <v>0</v>
      </c>
      <c r="G67" s="27"/>
      <c r="H67" s="115">
        <f>H68</f>
        <v>200000</v>
      </c>
      <c r="N67" s="115">
        <f>N68</f>
        <v>200000</v>
      </c>
      <c r="O67" s="115"/>
      <c r="P67" s="115">
        <f>P68</f>
        <v>200000</v>
      </c>
      <c r="Q67" s="115">
        <f>Q68</f>
        <v>200000</v>
      </c>
      <c r="R67" s="102"/>
      <c r="S67" s="115">
        <f>S68</f>
        <v>200000</v>
      </c>
    </row>
    <row r="68" spans="1:19" ht="18.75" customHeight="1">
      <c r="A68" s="61" t="s">
        <v>526</v>
      </c>
      <c r="B68" s="29" t="s">
        <v>110</v>
      </c>
      <c r="C68" s="23" t="s">
        <v>92</v>
      </c>
      <c r="D68" s="24" t="s">
        <v>414</v>
      </c>
      <c r="E68" s="29" t="s">
        <v>149</v>
      </c>
      <c r="F68" s="39">
        <v>0</v>
      </c>
      <c r="G68" s="27">
        <v>400000</v>
      </c>
      <c r="H68" s="115">
        <v>200000</v>
      </c>
      <c r="N68" s="115">
        <v>200000</v>
      </c>
      <c r="O68" s="115"/>
      <c r="P68" s="116">
        <f>N68+O68</f>
        <v>200000</v>
      </c>
      <c r="Q68" s="115">
        <v>200000</v>
      </c>
      <c r="R68" s="102"/>
      <c r="S68" s="116">
        <f>Q68+R68</f>
        <v>200000</v>
      </c>
    </row>
    <row r="69" spans="1:19" ht="18" customHeight="1">
      <c r="A69" s="50" t="s">
        <v>38</v>
      </c>
      <c r="B69" s="26"/>
      <c r="C69" s="23" t="s">
        <v>113</v>
      </c>
      <c r="D69" s="23"/>
      <c r="E69" s="23"/>
      <c r="F69" s="39" t="e">
        <f>SUM(F74+F89+#REF!+#REF!+#REF!+#REF!+#REF!+#REF!)</f>
        <v>#REF!</v>
      </c>
      <c r="G69" s="27"/>
      <c r="H69" s="115">
        <f>H70+H86+H89+H119+H112</f>
        <v>48614100</v>
      </c>
      <c r="N69" s="115">
        <f>N70+N86+N89+N119+N112</f>
        <v>25903229</v>
      </c>
      <c r="O69" s="115"/>
      <c r="P69" s="115">
        <f>P70+P86+P89+P119+P112</f>
        <v>25903229</v>
      </c>
      <c r="Q69" s="115">
        <f>Q70+Q86+Q89+Q119+Q112</f>
        <v>27883761</v>
      </c>
      <c r="R69" s="102"/>
      <c r="S69" s="115">
        <f>S70+S86+S89+S119+S112</f>
        <v>27883761</v>
      </c>
    </row>
    <row r="70" spans="1:19" ht="79.5" customHeight="1">
      <c r="A70" s="62" t="s">
        <v>412</v>
      </c>
      <c r="B70" s="26"/>
      <c r="C70" s="24" t="s">
        <v>113</v>
      </c>
      <c r="D70" s="24" t="s">
        <v>413</v>
      </c>
      <c r="E70" s="23"/>
      <c r="F70" s="39"/>
      <c r="G70" s="27"/>
      <c r="H70" s="115">
        <f>H71+H74</f>
        <v>2401400</v>
      </c>
      <c r="N70" s="115">
        <f>N71+N74</f>
        <v>2401400</v>
      </c>
      <c r="O70" s="115"/>
      <c r="P70" s="115">
        <f>P71+P74</f>
        <v>2401400</v>
      </c>
      <c r="Q70" s="115">
        <f>Q71+Q74</f>
        <v>2401400</v>
      </c>
      <c r="R70" s="102"/>
      <c r="S70" s="115">
        <f>S71+S74</f>
        <v>2401400</v>
      </c>
    </row>
    <row r="71" spans="1:19" ht="56.25" customHeight="1">
      <c r="A71" s="34" t="s">
        <v>211</v>
      </c>
      <c r="B71" s="26"/>
      <c r="C71" s="24" t="s">
        <v>113</v>
      </c>
      <c r="D71" s="24" t="s">
        <v>212</v>
      </c>
      <c r="E71" s="23"/>
      <c r="F71" s="39"/>
      <c r="G71" s="27"/>
      <c r="H71" s="115">
        <f>H72</f>
        <v>50000</v>
      </c>
      <c r="N71" s="115">
        <f>N72</f>
        <v>50000</v>
      </c>
      <c r="O71" s="115"/>
      <c r="P71" s="115">
        <f>P72</f>
        <v>50000</v>
      </c>
      <c r="Q71" s="115">
        <f>Q72</f>
        <v>50000</v>
      </c>
      <c r="R71" s="102"/>
      <c r="S71" s="115">
        <f>S72</f>
        <v>50000</v>
      </c>
    </row>
    <row r="72" spans="1:19" ht="49.5" customHeight="1">
      <c r="A72" s="50" t="s">
        <v>468</v>
      </c>
      <c r="B72" s="26"/>
      <c r="C72" s="24" t="s">
        <v>113</v>
      </c>
      <c r="D72" s="24" t="s">
        <v>469</v>
      </c>
      <c r="E72" s="23"/>
      <c r="F72" s="39"/>
      <c r="G72" s="27"/>
      <c r="H72" s="115">
        <f>H73</f>
        <v>50000</v>
      </c>
      <c r="N72" s="115">
        <f>N73</f>
        <v>50000</v>
      </c>
      <c r="O72" s="115"/>
      <c r="P72" s="115">
        <f>P73</f>
        <v>50000</v>
      </c>
      <c r="Q72" s="115">
        <f>Q73</f>
        <v>50000</v>
      </c>
      <c r="R72" s="102"/>
      <c r="S72" s="115">
        <f>S73</f>
        <v>50000</v>
      </c>
    </row>
    <row r="73" spans="1:19" ht="39" customHeight="1">
      <c r="A73" s="41" t="s">
        <v>161</v>
      </c>
      <c r="B73" s="26"/>
      <c r="C73" s="24" t="s">
        <v>113</v>
      </c>
      <c r="D73" s="24" t="s">
        <v>469</v>
      </c>
      <c r="E73" s="23" t="s">
        <v>136</v>
      </c>
      <c r="F73" s="39"/>
      <c r="G73" s="27"/>
      <c r="H73" s="115">
        <v>50000</v>
      </c>
      <c r="N73" s="115">
        <v>50000</v>
      </c>
      <c r="O73" s="115"/>
      <c r="P73" s="116">
        <f>N73+O73</f>
        <v>50000</v>
      </c>
      <c r="Q73" s="115">
        <v>50000</v>
      </c>
      <c r="R73" s="102"/>
      <c r="S73" s="116">
        <f>Q73+R73</f>
        <v>50000</v>
      </c>
    </row>
    <row r="74" spans="1:19" ht="82.5" customHeight="1">
      <c r="A74" s="34" t="s">
        <v>208</v>
      </c>
      <c r="B74" s="158" t="s">
        <v>209</v>
      </c>
      <c r="C74" s="23" t="s">
        <v>113</v>
      </c>
      <c r="D74" s="24" t="s">
        <v>209</v>
      </c>
      <c r="E74" s="23"/>
      <c r="F74" s="39">
        <f>F75</f>
        <v>0</v>
      </c>
      <c r="G74" s="27"/>
      <c r="H74" s="115">
        <f>H75+H80+H84</f>
        <v>2351400</v>
      </c>
      <c r="N74" s="115">
        <f>N75+N80+N84</f>
        <v>2351400</v>
      </c>
      <c r="O74" s="115"/>
      <c r="P74" s="115">
        <f>P75+P80+P84</f>
        <v>2351400</v>
      </c>
      <c r="Q74" s="115">
        <f>Q75+Q80+Q84</f>
        <v>2351400</v>
      </c>
      <c r="R74" s="102"/>
      <c r="S74" s="115">
        <f>S75+S80+S84</f>
        <v>2351400</v>
      </c>
    </row>
    <row r="75" spans="1:19" ht="31.5">
      <c r="A75" s="50" t="s">
        <v>206</v>
      </c>
      <c r="B75" s="23"/>
      <c r="C75" s="23" t="s">
        <v>113</v>
      </c>
      <c r="D75" s="24" t="s">
        <v>400</v>
      </c>
      <c r="E75" s="23"/>
      <c r="F75" s="39">
        <f>F76+F77+F78+F79</f>
        <v>0</v>
      </c>
      <c r="G75" s="27"/>
      <c r="H75" s="115">
        <f>H76+H77+H78+H79</f>
        <v>1459400</v>
      </c>
      <c r="N75" s="115">
        <f>N76+N77+N78+N79</f>
        <v>1459400</v>
      </c>
      <c r="O75" s="115"/>
      <c r="P75" s="115">
        <f>P76+P77+P78+P79</f>
        <v>1459400</v>
      </c>
      <c r="Q75" s="115">
        <f>Q76+Q77+Q78+Q79</f>
        <v>1459400</v>
      </c>
      <c r="R75" s="102"/>
      <c r="S75" s="115">
        <f>S76+S77+S78+S79</f>
        <v>1459400</v>
      </c>
    </row>
    <row r="76" spans="1:19" ht="31.5" customHeight="1">
      <c r="A76" s="41" t="s">
        <v>129</v>
      </c>
      <c r="B76" s="23" t="s">
        <v>109</v>
      </c>
      <c r="C76" s="23" t="s">
        <v>113</v>
      </c>
      <c r="D76" s="24" t="s">
        <v>400</v>
      </c>
      <c r="E76" s="23" t="s">
        <v>146</v>
      </c>
      <c r="F76" s="146">
        <v>0</v>
      </c>
      <c r="G76" s="27">
        <v>1143198</v>
      </c>
      <c r="H76" s="116">
        <v>1388068</v>
      </c>
      <c r="N76" s="116">
        <v>1388068</v>
      </c>
      <c r="O76" s="116"/>
      <c r="P76" s="116">
        <f aca="true" t="shared" si="8" ref="P76:P85">N76+O76</f>
        <v>1388068</v>
      </c>
      <c r="Q76" s="116">
        <v>1388068</v>
      </c>
      <c r="R76" s="102"/>
      <c r="S76" s="116">
        <f aca="true" t="shared" si="9" ref="S76:S85">Q76+R76</f>
        <v>1388068</v>
      </c>
    </row>
    <row r="77" spans="1:19" ht="33.75" customHeight="1">
      <c r="A77" s="41" t="s">
        <v>130</v>
      </c>
      <c r="B77" s="23" t="s">
        <v>109</v>
      </c>
      <c r="C77" s="23" t="s">
        <v>113</v>
      </c>
      <c r="D77" s="24" t="s">
        <v>400</v>
      </c>
      <c r="E77" s="23" t="s">
        <v>147</v>
      </c>
      <c r="F77" s="146">
        <v>0</v>
      </c>
      <c r="G77" s="27">
        <v>3500</v>
      </c>
      <c r="H77" s="116">
        <v>1000</v>
      </c>
      <c r="N77" s="116">
        <v>1000</v>
      </c>
      <c r="O77" s="116"/>
      <c r="P77" s="116">
        <f t="shared" si="8"/>
        <v>1000</v>
      </c>
      <c r="Q77" s="116">
        <v>1000</v>
      </c>
      <c r="R77" s="102"/>
      <c r="S77" s="116">
        <f t="shared" si="9"/>
        <v>1000</v>
      </c>
    </row>
    <row r="78" spans="1:19" ht="37.5" customHeight="1">
      <c r="A78" s="41" t="s">
        <v>131</v>
      </c>
      <c r="B78" s="23" t="s">
        <v>109</v>
      </c>
      <c r="C78" s="23" t="s">
        <v>113</v>
      </c>
      <c r="D78" s="24" t="s">
        <v>400</v>
      </c>
      <c r="E78" s="23" t="s">
        <v>135</v>
      </c>
      <c r="F78" s="146">
        <v>0</v>
      </c>
      <c r="G78" s="27">
        <v>89500</v>
      </c>
      <c r="H78" s="116">
        <v>58072</v>
      </c>
      <c r="N78" s="116">
        <v>58072</v>
      </c>
      <c r="O78" s="116"/>
      <c r="P78" s="116">
        <f t="shared" si="8"/>
        <v>58072</v>
      </c>
      <c r="Q78" s="116">
        <v>58072</v>
      </c>
      <c r="R78" s="102"/>
      <c r="S78" s="116">
        <f t="shared" si="9"/>
        <v>58072</v>
      </c>
    </row>
    <row r="79" spans="1:19" ht="33" customHeight="1">
      <c r="A79" s="41" t="s">
        <v>161</v>
      </c>
      <c r="B79" s="23" t="s">
        <v>109</v>
      </c>
      <c r="C79" s="23" t="s">
        <v>113</v>
      </c>
      <c r="D79" s="24" t="s">
        <v>400</v>
      </c>
      <c r="E79" s="23" t="s">
        <v>136</v>
      </c>
      <c r="F79" s="146">
        <v>0</v>
      </c>
      <c r="G79" s="27">
        <v>34902</v>
      </c>
      <c r="H79" s="116">
        <v>12260</v>
      </c>
      <c r="N79" s="116">
        <v>12260</v>
      </c>
      <c r="O79" s="116"/>
      <c r="P79" s="116">
        <f t="shared" si="8"/>
        <v>12260</v>
      </c>
      <c r="Q79" s="116">
        <v>12260</v>
      </c>
      <c r="R79" s="102"/>
      <c r="S79" s="116">
        <f t="shared" si="9"/>
        <v>12260</v>
      </c>
    </row>
    <row r="80" spans="1:19" ht="34.5" customHeight="1">
      <c r="A80" s="50" t="s">
        <v>108</v>
      </c>
      <c r="B80" s="25"/>
      <c r="C80" s="23" t="s">
        <v>113</v>
      </c>
      <c r="D80" s="24" t="s">
        <v>210</v>
      </c>
      <c r="E80" s="23"/>
      <c r="F80" s="39">
        <f>F81+F82+F83</f>
        <v>0</v>
      </c>
      <c r="G80" s="27"/>
      <c r="H80" s="115">
        <f>H81+H82+H83</f>
        <v>792000</v>
      </c>
      <c r="N80" s="115">
        <f>N81+N82+N83</f>
        <v>792000</v>
      </c>
      <c r="O80" s="115"/>
      <c r="P80" s="115">
        <f>P81+P82+P83</f>
        <v>792000</v>
      </c>
      <c r="Q80" s="115">
        <f>Q81+Q82+Q83</f>
        <v>792000</v>
      </c>
      <c r="R80" s="102"/>
      <c r="S80" s="115">
        <f>S81+S82+S83</f>
        <v>792000</v>
      </c>
    </row>
    <row r="81" spans="1:19" ht="20.25" customHeight="1">
      <c r="A81" s="41" t="s">
        <v>129</v>
      </c>
      <c r="B81" s="23" t="s">
        <v>109</v>
      </c>
      <c r="C81" s="23" t="s">
        <v>113</v>
      </c>
      <c r="D81" s="24" t="s">
        <v>210</v>
      </c>
      <c r="E81" s="23" t="s">
        <v>133</v>
      </c>
      <c r="F81" s="146">
        <v>0</v>
      </c>
      <c r="G81" s="27">
        <v>650126</v>
      </c>
      <c r="H81" s="116">
        <v>697474</v>
      </c>
      <c r="N81" s="116">
        <v>697474</v>
      </c>
      <c r="O81" s="116"/>
      <c r="P81" s="116">
        <f t="shared" si="8"/>
        <v>697474</v>
      </c>
      <c r="Q81" s="116">
        <v>697474</v>
      </c>
      <c r="R81" s="102"/>
      <c r="S81" s="116">
        <f t="shared" si="9"/>
        <v>697474</v>
      </c>
    </row>
    <row r="82" spans="1:19" ht="20.25" customHeight="1">
      <c r="A82" s="41" t="s">
        <v>131</v>
      </c>
      <c r="B82" s="23" t="s">
        <v>109</v>
      </c>
      <c r="C82" s="23" t="s">
        <v>113</v>
      </c>
      <c r="D82" s="24" t="s">
        <v>210</v>
      </c>
      <c r="E82" s="23" t="s">
        <v>135</v>
      </c>
      <c r="F82" s="146">
        <v>0</v>
      </c>
      <c r="G82" s="27">
        <v>31660</v>
      </c>
      <c r="H82" s="116">
        <v>33026</v>
      </c>
      <c r="N82" s="116">
        <v>33026</v>
      </c>
      <c r="O82" s="116"/>
      <c r="P82" s="116">
        <f t="shared" si="8"/>
        <v>33026</v>
      </c>
      <c r="Q82" s="116">
        <v>33026</v>
      </c>
      <c r="R82" s="102"/>
      <c r="S82" s="116">
        <f t="shared" si="9"/>
        <v>33026</v>
      </c>
    </row>
    <row r="83" spans="1:19" ht="33" customHeight="1">
      <c r="A83" s="41" t="s">
        <v>161</v>
      </c>
      <c r="B83" s="23" t="s">
        <v>109</v>
      </c>
      <c r="C83" s="23" t="s">
        <v>113</v>
      </c>
      <c r="D83" s="24" t="s">
        <v>210</v>
      </c>
      <c r="E83" s="23" t="s">
        <v>136</v>
      </c>
      <c r="F83" s="146">
        <v>0</v>
      </c>
      <c r="G83" s="27">
        <v>21214</v>
      </c>
      <c r="H83" s="116">
        <v>61500</v>
      </c>
      <c r="N83" s="116">
        <v>61500</v>
      </c>
      <c r="O83" s="116"/>
      <c r="P83" s="116">
        <f t="shared" si="8"/>
        <v>61500</v>
      </c>
      <c r="Q83" s="116">
        <v>61500</v>
      </c>
      <c r="R83" s="102"/>
      <c r="S83" s="116">
        <f t="shared" si="9"/>
        <v>61500</v>
      </c>
    </row>
    <row r="84" spans="1:19" ht="20.25" customHeight="1">
      <c r="A84" s="41" t="s">
        <v>420</v>
      </c>
      <c r="B84" s="25"/>
      <c r="C84" s="24" t="s">
        <v>113</v>
      </c>
      <c r="D84" s="24" t="s">
        <v>467</v>
      </c>
      <c r="E84" s="23"/>
      <c r="F84" s="146"/>
      <c r="G84" s="27"/>
      <c r="H84" s="116">
        <f>H85</f>
        <v>100000</v>
      </c>
      <c r="N84" s="116">
        <f>N85</f>
        <v>100000</v>
      </c>
      <c r="O84" s="116"/>
      <c r="P84" s="116">
        <f>P85</f>
        <v>100000</v>
      </c>
      <c r="Q84" s="116">
        <f>Q85</f>
        <v>100000</v>
      </c>
      <c r="R84" s="102"/>
      <c r="S84" s="116">
        <f>S85</f>
        <v>100000</v>
      </c>
    </row>
    <row r="85" spans="1:19" ht="37.5" customHeight="1">
      <c r="A85" s="41" t="s">
        <v>161</v>
      </c>
      <c r="B85" s="23"/>
      <c r="C85" s="23" t="s">
        <v>113</v>
      </c>
      <c r="D85" s="24" t="s">
        <v>467</v>
      </c>
      <c r="E85" s="23" t="s">
        <v>136</v>
      </c>
      <c r="F85" s="146"/>
      <c r="G85" s="27"/>
      <c r="H85" s="116">
        <v>100000</v>
      </c>
      <c r="N85" s="116">
        <v>100000</v>
      </c>
      <c r="O85" s="116"/>
      <c r="P85" s="116">
        <f t="shared" si="8"/>
        <v>100000</v>
      </c>
      <c r="Q85" s="116">
        <v>100000</v>
      </c>
      <c r="R85" s="102"/>
      <c r="S85" s="116">
        <f t="shared" si="9"/>
        <v>100000</v>
      </c>
    </row>
    <row r="86" spans="1:19" ht="127.5" customHeight="1">
      <c r="A86" s="57" t="s">
        <v>371</v>
      </c>
      <c r="B86" s="14"/>
      <c r="C86" s="24" t="s">
        <v>113</v>
      </c>
      <c r="D86" s="24" t="s">
        <v>374</v>
      </c>
      <c r="E86" s="23"/>
      <c r="F86" s="39" t="e">
        <f>F88+#REF!</f>
        <v>#REF!</v>
      </c>
      <c r="G86" s="27"/>
      <c r="H86" s="115">
        <f>H87</f>
        <v>50000</v>
      </c>
      <c r="I86" s="115">
        <f aca="true" t="shared" si="10" ref="I86:S86">I87</f>
        <v>0</v>
      </c>
      <c r="J86" s="115">
        <f t="shared" si="10"/>
        <v>0</v>
      </c>
      <c r="K86" s="115">
        <f t="shared" si="10"/>
        <v>0</v>
      </c>
      <c r="L86" s="115">
        <f t="shared" si="10"/>
        <v>0</v>
      </c>
      <c r="M86" s="115">
        <f t="shared" si="10"/>
        <v>0</v>
      </c>
      <c r="N86" s="115">
        <f t="shared" si="10"/>
        <v>50000</v>
      </c>
      <c r="O86" s="115"/>
      <c r="P86" s="115">
        <f t="shared" si="10"/>
        <v>50000</v>
      </c>
      <c r="Q86" s="115">
        <f t="shared" si="10"/>
        <v>50000</v>
      </c>
      <c r="R86" s="102"/>
      <c r="S86" s="115">
        <f t="shared" si="10"/>
        <v>50000</v>
      </c>
    </row>
    <row r="87" spans="1:19" ht="30.75" customHeight="1">
      <c r="A87" s="33" t="s">
        <v>376</v>
      </c>
      <c r="B87" s="14"/>
      <c r="C87" s="23" t="s">
        <v>113</v>
      </c>
      <c r="D87" s="24" t="s">
        <v>377</v>
      </c>
      <c r="E87" s="23"/>
      <c r="F87" s="39">
        <v>0</v>
      </c>
      <c r="G87" s="27">
        <v>200000</v>
      </c>
      <c r="H87" s="115">
        <f>H88</f>
        <v>50000</v>
      </c>
      <c r="N87" s="115">
        <f>N88</f>
        <v>50000</v>
      </c>
      <c r="O87" s="115"/>
      <c r="P87" s="115">
        <f>P88</f>
        <v>50000</v>
      </c>
      <c r="Q87" s="115">
        <f>Q88</f>
        <v>50000</v>
      </c>
      <c r="R87" s="102"/>
      <c r="S87" s="115">
        <f>S88</f>
        <v>50000</v>
      </c>
    </row>
    <row r="88" spans="1:19" ht="30" customHeight="1">
      <c r="A88" s="41" t="s">
        <v>161</v>
      </c>
      <c r="B88" s="24" t="s">
        <v>109</v>
      </c>
      <c r="C88" s="24" t="s">
        <v>113</v>
      </c>
      <c r="D88" s="24" t="s">
        <v>378</v>
      </c>
      <c r="E88" s="24" t="s">
        <v>136</v>
      </c>
      <c r="F88" s="39"/>
      <c r="G88" s="27"/>
      <c r="H88" s="115">
        <v>50000</v>
      </c>
      <c r="N88" s="115">
        <v>50000</v>
      </c>
      <c r="O88" s="115"/>
      <c r="P88" s="116">
        <f>N88+O88</f>
        <v>50000</v>
      </c>
      <c r="Q88" s="115">
        <v>50000</v>
      </c>
      <c r="R88" s="102"/>
      <c r="S88" s="116">
        <f>Q88+R88</f>
        <v>50000</v>
      </c>
    </row>
    <row r="89" spans="1:19" ht="67.5" customHeight="1">
      <c r="A89" s="57" t="s">
        <v>379</v>
      </c>
      <c r="B89" s="17"/>
      <c r="C89" s="23" t="s">
        <v>113</v>
      </c>
      <c r="D89" s="24" t="s">
        <v>381</v>
      </c>
      <c r="E89" s="23"/>
      <c r="F89" s="39" t="e">
        <f>SUM(#REF!+F106+#REF!+#REF!)</f>
        <v>#REF!</v>
      </c>
      <c r="G89" s="27"/>
      <c r="H89" s="115">
        <f>H90+H102+H106</f>
        <v>12084600</v>
      </c>
      <c r="N89" s="115">
        <f>N90+N102+N106</f>
        <v>12100000</v>
      </c>
      <c r="O89" s="115"/>
      <c r="P89" s="115">
        <f>P90+P102+P106</f>
        <v>12100000</v>
      </c>
      <c r="Q89" s="115">
        <f>Q90+Q102+Q106</f>
        <v>12104600</v>
      </c>
      <c r="R89" s="102"/>
      <c r="S89" s="115">
        <f>S90+S102+S106</f>
        <v>12104600</v>
      </c>
    </row>
    <row r="90" spans="1:19" ht="57" customHeight="1">
      <c r="A90" s="33" t="s">
        <v>393</v>
      </c>
      <c r="B90" s="14"/>
      <c r="C90" s="24" t="s">
        <v>113</v>
      </c>
      <c r="D90" s="24" t="s">
        <v>394</v>
      </c>
      <c r="E90" s="23"/>
      <c r="F90" s="80"/>
      <c r="G90" s="27"/>
      <c r="H90" s="116">
        <f>H91+H93+H95+H97+H99</f>
        <v>939800</v>
      </c>
      <c r="N90" s="116">
        <f>N91+N93+N95+N97+N99</f>
        <v>944200</v>
      </c>
      <c r="O90" s="116"/>
      <c r="P90" s="116">
        <f>P91+P93+P95+P97+P99</f>
        <v>944200</v>
      </c>
      <c r="Q90" s="116">
        <f>Q91+Q93+Q95+Q97+Q99</f>
        <v>948800</v>
      </c>
      <c r="R90" s="102"/>
      <c r="S90" s="116">
        <f>S91+S93+S95+S97+S99</f>
        <v>948800</v>
      </c>
    </row>
    <row r="91" spans="1:19" ht="37.5" customHeight="1">
      <c r="A91" s="33" t="s">
        <v>169</v>
      </c>
      <c r="B91" s="14"/>
      <c r="C91" s="24" t="s">
        <v>113</v>
      </c>
      <c r="D91" s="24" t="s">
        <v>398</v>
      </c>
      <c r="E91" s="23"/>
      <c r="F91" s="80"/>
      <c r="G91" s="27"/>
      <c r="H91" s="116">
        <f>H92</f>
        <v>181000</v>
      </c>
      <c r="N91" s="116">
        <f>N92</f>
        <v>181000</v>
      </c>
      <c r="O91" s="116"/>
      <c r="P91" s="116">
        <f>P92</f>
        <v>181000</v>
      </c>
      <c r="Q91" s="116">
        <f>Q92</f>
        <v>181000</v>
      </c>
      <c r="R91" s="102"/>
      <c r="S91" s="116">
        <f>S92</f>
        <v>181000</v>
      </c>
    </row>
    <row r="92" spans="1:19" ht="39" customHeight="1">
      <c r="A92" s="41" t="s">
        <v>161</v>
      </c>
      <c r="B92" s="14"/>
      <c r="C92" s="24" t="s">
        <v>113</v>
      </c>
      <c r="D92" s="24" t="s">
        <v>398</v>
      </c>
      <c r="E92" s="24" t="s">
        <v>136</v>
      </c>
      <c r="F92" s="80"/>
      <c r="G92" s="27"/>
      <c r="H92" s="116">
        <v>181000</v>
      </c>
      <c r="N92" s="116">
        <v>181000</v>
      </c>
      <c r="O92" s="116"/>
      <c r="P92" s="116">
        <f aca="true" t="shared" si="11" ref="P92:P101">N92+O92</f>
        <v>181000</v>
      </c>
      <c r="Q92" s="116">
        <v>181000</v>
      </c>
      <c r="R92" s="102"/>
      <c r="S92" s="116">
        <f aca="true" t="shared" si="12" ref="S92:S101">Q92+R92</f>
        <v>181000</v>
      </c>
    </row>
    <row r="93" spans="1:19" ht="39.75" customHeight="1">
      <c r="A93" s="77" t="s">
        <v>397</v>
      </c>
      <c r="B93" s="14"/>
      <c r="C93" s="24" t="s">
        <v>113</v>
      </c>
      <c r="D93" s="24" t="s">
        <v>399</v>
      </c>
      <c r="E93" s="23"/>
      <c r="F93" s="80"/>
      <c r="G93" s="27"/>
      <c r="H93" s="116">
        <f>H94</f>
        <v>48200</v>
      </c>
      <c r="N93" s="116">
        <f>N94</f>
        <v>48200</v>
      </c>
      <c r="O93" s="116"/>
      <c r="P93" s="116">
        <f>P94</f>
        <v>48200</v>
      </c>
      <c r="Q93" s="116">
        <f>Q94</f>
        <v>48200</v>
      </c>
      <c r="R93" s="102"/>
      <c r="S93" s="116">
        <f>S94</f>
        <v>48200</v>
      </c>
    </row>
    <row r="94" spans="1:19" ht="24" customHeight="1">
      <c r="A94" s="41" t="s">
        <v>148</v>
      </c>
      <c r="B94" s="14"/>
      <c r="C94" s="24" t="s">
        <v>113</v>
      </c>
      <c r="D94" s="24" t="s">
        <v>399</v>
      </c>
      <c r="E94" s="24" t="s">
        <v>137</v>
      </c>
      <c r="F94" s="80"/>
      <c r="G94" s="27"/>
      <c r="H94" s="116">
        <v>48200</v>
      </c>
      <c r="N94" s="116">
        <v>48200</v>
      </c>
      <c r="O94" s="116"/>
      <c r="P94" s="116">
        <f t="shared" si="11"/>
        <v>48200</v>
      </c>
      <c r="Q94" s="116">
        <v>48200</v>
      </c>
      <c r="R94" s="102"/>
      <c r="S94" s="116">
        <f t="shared" si="12"/>
        <v>48200</v>
      </c>
    </row>
    <row r="95" spans="1:19" ht="77.25" customHeight="1">
      <c r="A95" s="76" t="s">
        <v>396</v>
      </c>
      <c r="B95" s="14"/>
      <c r="C95" s="23" t="s">
        <v>113</v>
      </c>
      <c r="D95" s="24" t="s">
        <v>395</v>
      </c>
      <c r="E95" s="23"/>
      <c r="F95" s="80"/>
      <c r="G95" s="27"/>
      <c r="H95" s="116">
        <f>H96</f>
        <v>623000</v>
      </c>
      <c r="N95" s="116">
        <f>N96</f>
        <v>623000</v>
      </c>
      <c r="O95" s="116"/>
      <c r="P95" s="116">
        <f>P96</f>
        <v>623000</v>
      </c>
      <c r="Q95" s="116">
        <f>Q96</f>
        <v>623000</v>
      </c>
      <c r="R95" s="102"/>
      <c r="S95" s="116">
        <f>S96</f>
        <v>623000</v>
      </c>
    </row>
    <row r="96" spans="1:19" ht="37.5" customHeight="1">
      <c r="A96" s="41" t="s">
        <v>161</v>
      </c>
      <c r="B96" s="14"/>
      <c r="C96" s="23" t="s">
        <v>113</v>
      </c>
      <c r="D96" s="24" t="s">
        <v>395</v>
      </c>
      <c r="E96" s="23" t="s">
        <v>136</v>
      </c>
      <c r="F96" s="80">
        <v>0</v>
      </c>
      <c r="G96" s="27">
        <v>208000</v>
      </c>
      <c r="H96" s="116">
        <v>623000</v>
      </c>
      <c r="N96" s="116">
        <v>623000</v>
      </c>
      <c r="O96" s="116"/>
      <c r="P96" s="116">
        <f t="shared" si="11"/>
        <v>623000</v>
      </c>
      <c r="Q96" s="116">
        <v>623000</v>
      </c>
      <c r="R96" s="102"/>
      <c r="S96" s="116">
        <f t="shared" si="12"/>
        <v>623000</v>
      </c>
    </row>
    <row r="97" spans="1:19" ht="51.75" customHeight="1">
      <c r="A97" s="41" t="s">
        <v>127</v>
      </c>
      <c r="B97" s="23" t="s">
        <v>110</v>
      </c>
      <c r="C97" s="23" t="s">
        <v>113</v>
      </c>
      <c r="D97" s="24" t="s">
        <v>407</v>
      </c>
      <c r="E97" s="23"/>
      <c r="F97" s="39" t="e">
        <f>#REF!+F98</f>
        <v>#REF!</v>
      </c>
      <c r="G97" s="27"/>
      <c r="H97" s="115">
        <f>H98</f>
        <v>100</v>
      </c>
      <c r="N97" s="115">
        <f>N98</f>
        <v>100</v>
      </c>
      <c r="O97" s="115"/>
      <c r="P97" s="115">
        <f>P98</f>
        <v>100</v>
      </c>
      <c r="Q97" s="115">
        <f>Q98</f>
        <v>100</v>
      </c>
      <c r="R97" s="102"/>
      <c r="S97" s="115">
        <f>S98</f>
        <v>100</v>
      </c>
    </row>
    <row r="98" spans="1:19" ht="36" customHeight="1">
      <c r="A98" s="41" t="s">
        <v>161</v>
      </c>
      <c r="B98" s="23"/>
      <c r="C98" s="23" t="s">
        <v>113</v>
      </c>
      <c r="D98" s="24" t="s">
        <v>407</v>
      </c>
      <c r="E98" s="23" t="s">
        <v>136</v>
      </c>
      <c r="F98" s="39">
        <v>0</v>
      </c>
      <c r="G98" s="78">
        <v>100</v>
      </c>
      <c r="H98" s="115">
        <f>F98+G98</f>
        <v>100</v>
      </c>
      <c r="N98" s="115">
        <v>100</v>
      </c>
      <c r="O98" s="115"/>
      <c r="P98" s="116">
        <f t="shared" si="11"/>
        <v>100</v>
      </c>
      <c r="Q98" s="115">
        <v>100</v>
      </c>
      <c r="R98" s="102"/>
      <c r="S98" s="116">
        <f t="shared" si="12"/>
        <v>100</v>
      </c>
    </row>
    <row r="99" spans="1:19" ht="30.75" customHeight="1">
      <c r="A99" s="41" t="s">
        <v>126</v>
      </c>
      <c r="B99" s="23" t="s">
        <v>110</v>
      </c>
      <c r="C99" s="23" t="s">
        <v>113</v>
      </c>
      <c r="D99" s="24" t="s">
        <v>408</v>
      </c>
      <c r="E99" s="23"/>
      <c r="F99" s="39">
        <f>F101</f>
        <v>0</v>
      </c>
      <c r="G99" s="78"/>
      <c r="H99" s="115">
        <f>H100+H101</f>
        <v>87500</v>
      </c>
      <c r="N99" s="115">
        <f>N100+N101</f>
        <v>91900</v>
      </c>
      <c r="O99" s="115"/>
      <c r="P99" s="115">
        <f>P100+P101</f>
        <v>91900</v>
      </c>
      <c r="Q99" s="115">
        <v>96500</v>
      </c>
      <c r="R99" s="102"/>
      <c r="S99" s="115">
        <f>S100+S101</f>
        <v>96500</v>
      </c>
    </row>
    <row r="100" spans="1:19" ht="18.75" customHeight="1">
      <c r="A100" s="41" t="s">
        <v>129</v>
      </c>
      <c r="B100" s="23"/>
      <c r="C100" s="23" t="s">
        <v>113</v>
      </c>
      <c r="D100" s="24" t="s">
        <v>408</v>
      </c>
      <c r="E100" s="24" t="s">
        <v>133</v>
      </c>
      <c r="F100" s="39"/>
      <c r="G100" s="78">
        <v>14749</v>
      </c>
      <c r="H100" s="115">
        <v>84212</v>
      </c>
      <c r="N100" s="115">
        <v>88612</v>
      </c>
      <c r="O100" s="115"/>
      <c r="P100" s="116">
        <f t="shared" si="11"/>
        <v>88612</v>
      </c>
      <c r="Q100" s="115">
        <v>93212</v>
      </c>
      <c r="R100" s="102"/>
      <c r="S100" s="116">
        <f t="shared" si="12"/>
        <v>93212</v>
      </c>
    </row>
    <row r="101" spans="1:19" ht="22.5" customHeight="1">
      <c r="A101" s="41" t="s">
        <v>161</v>
      </c>
      <c r="B101" s="23" t="s">
        <v>110</v>
      </c>
      <c r="C101" s="23" t="s">
        <v>113</v>
      </c>
      <c r="D101" s="24" t="s">
        <v>408</v>
      </c>
      <c r="E101" s="23" t="s">
        <v>136</v>
      </c>
      <c r="F101" s="39">
        <v>0</v>
      </c>
      <c r="G101" s="78">
        <v>68651</v>
      </c>
      <c r="H101" s="115">
        <v>3288</v>
      </c>
      <c r="N101" s="115">
        <v>3288</v>
      </c>
      <c r="O101" s="115"/>
      <c r="P101" s="116">
        <f t="shared" si="11"/>
        <v>3288</v>
      </c>
      <c r="Q101" s="115">
        <v>3288</v>
      </c>
      <c r="R101" s="102"/>
      <c r="S101" s="116">
        <f t="shared" si="12"/>
        <v>3288</v>
      </c>
    </row>
    <row r="102" spans="1:19" ht="84" customHeight="1">
      <c r="A102" s="33" t="s">
        <v>404</v>
      </c>
      <c r="B102" s="17"/>
      <c r="C102" s="23" t="s">
        <v>113</v>
      </c>
      <c r="D102" s="24" t="s">
        <v>405</v>
      </c>
      <c r="E102" s="23"/>
      <c r="F102" s="39">
        <v>0</v>
      </c>
      <c r="G102" s="27">
        <v>0</v>
      </c>
      <c r="H102" s="115">
        <f>H103</f>
        <v>193000</v>
      </c>
      <c r="N102" s="115">
        <f>N103</f>
        <v>204000</v>
      </c>
      <c r="O102" s="115"/>
      <c r="P102" s="115">
        <f>P103</f>
        <v>204000</v>
      </c>
      <c r="Q102" s="115">
        <f>Q103</f>
        <v>204000</v>
      </c>
      <c r="R102" s="102"/>
      <c r="S102" s="115">
        <f>S103</f>
        <v>204000</v>
      </c>
    </row>
    <row r="103" spans="1:19" ht="83.25" customHeight="1">
      <c r="A103" s="50" t="s">
        <v>106</v>
      </c>
      <c r="B103" s="14"/>
      <c r="C103" s="23" t="s">
        <v>113</v>
      </c>
      <c r="D103" s="24" t="s">
        <v>406</v>
      </c>
      <c r="E103" s="23"/>
      <c r="F103" s="39">
        <f>F104+F105</f>
        <v>0</v>
      </c>
      <c r="G103" s="27"/>
      <c r="H103" s="115">
        <f>H104+H105</f>
        <v>193000</v>
      </c>
      <c r="N103" s="115">
        <f>N104+N105</f>
        <v>204000</v>
      </c>
      <c r="O103" s="115"/>
      <c r="P103" s="115">
        <f>P104+P105</f>
        <v>204000</v>
      </c>
      <c r="Q103" s="115">
        <f>Q104+Q105</f>
        <v>204000</v>
      </c>
      <c r="R103" s="102"/>
      <c r="S103" s="115">
        <f>S104+S105</f>
        <v>204000</v>
      </c>
    </row>
    <row r="104" spans="1:19" ht="31.5" customHeight="1">
      <c r="A104" s="41" t="s">
        <v>131</v>
      </c>
      <c r="B104" s="12"/>
      <c r="C104" s="29" t="s">
        <v>113</v>
      </c>
      <c r="D104" s="31" t="s">
        <v>406</v>
      </c>
      <c r="E104" s="29" t="s">
        <v>135</v>
      </c>
      <c r="F104" s="39">
        <v>0</v>
      </c>
      <c r="G104" s="27">
        <v>23624</v>
      </c>
      <c r="H104" s="115">
        <v>33000</v>
      </c>
      <c r="N104" s="115">
        <v>35000</v>
      </c>
      <c r="O104" s="115"/>
      <c r="P104" s="116">
        <f>N104+O104</f>
        <v>35000</v>
      </c>
      <c r="Q104" s="115">
        <v>35000</v>
      </c>
      <c r="R104" s="102"/>
      <c r="S104" s="116">
        <f>Q104+R104</f>
        <v>35000</v>
      </c>
    </row>
    <row r="105" spans="1:19" ht="36.75" customHeight="1">
      <c r="A105" s="41" t="s">
        <v>161</v>
      </c>
      <c r="B105" s="12"/>
      <c r="C105" s="29" t="s">
        <v>113</v>
      </c>
      <c r="D105" s="31" t="s">
        <v>406</v>
      </c>
      <c r="E105" s="29" t="s">
        <v>136</v>
      </c>
      <c r="F105" s="39">
        <v>0</v>
      </c>
      <c r="G105" s="27">
        <v>168376</v>
      </c>
      <c r="H105" s="115">
        <v>160000</v>
      </c>
      <c r="N105" s="115">
        <v>169000</v>
      </c>
      <c r="O105" s="115"/>
      <c r="P105" s="116">
        <f>N105+O105</f>
        <v>169000</v>
      </c>
      <c r="Q105" s="115">
        <v>169000</v>
      </c>
      <c r="R105" s="102"/>
      <c r="S105" s="116">
        <f>Q105+R105</f>
        <v>169000</v>
      </c>
    </row>
    <row r="106" spans="1:19" ht="69.75" customHeight="1">
      <c r="A106" s="41" t="s">
        <v>388</v>
      </c>
      <c r="B106" s="23"/>
      <c r="C106" s="23" t="s">
        <v>113</v>
      </c>
      <c r="D106" s="24" t="s">
        <v>389</v>
      </c>
      <c r="E106" s="23"/>
      <c r="F106" s="39" t="e">
        <f>F108+F109+F110+#REF!</f>
        <v>#REF!</v>
      </c>
      <c r="G106" s="27"/>
      <c r="H106" s="115">
        <f>H107</f>
        <v>10951800</v>
      </c>
      <c r="N106" s="115">
        <f>N107</f>
        <v>10951800</v>
      </c>
      <c r="O106" s="115"/>
      <c r="P106" s="115">
        <f>P107</f>
        <v>10951800</v>
      </c>
      <c r="Q106" s="115">
        <f>Q107</f>
        <v>10951800</v>
      </c>
      <c r="R106" s="102"/>
      <c r="S106" s="115">
        <f>S107</f>
        <v>10951800</v>
      </c>
    </row>
    <row r="107" spans="1:19" ht="30" customHeight="1">
      <c r="A107" s="41" t="s">
        <v>391</v>
      </c>
      <c r="B107" s="23"/>
      <c r="C107" s="24" t="s">
        <v>113</v>
      </c>
      <c r="D107" s="24" t="s">
        <v>392</v>
      </c>
      <c r="E107" s="23"/>
      <c r="F107" s="39"/>
      <c r="G107" s="27"/>
      <c r="H107" s="115">
        <f>H109+H110+H108+H111</f>
        <v>10951800</v>
      </c>
      <c r="N107" s="115">
        <f>N109+N110+N108+N111</f>
        <v>10951800</v>
      </c>
      <c r="O107" s="115"/>
      <c r="P107" s="115">
        <f>P109+P110+P108+P111</f>
        <v>10951800</v>
      </c>
      <c r="Q107" s="115">
        <f>Q109+Q110+Q108+Q111</f>
        <v>10951800</v>
      </c>
      <c r="R107" s="102"/>
      <c r="S107" s="115">
        <f>S109+S110+S108+S111</f>
        <v>10951800</v>
      </c>
    </row>
    <row r="108" spans="1:19" ht="21" customHeight="1">
      <c r="A108" s="41" t="s">
        <v>129</v>
      </c>
      <c r="B108" s="23" t="s">
        <v>110</v>
      </c>
      <c r="C108" s="23" t="s">
        <v>113</v>
      </c>
      <c r="D108" s="24" t="s">
        <v>390</v>
      </c>
      <c r="E108" s="23" t="s">
        <v>133</v>
      </c>
      <c r="F108" s="80">
        <v>0</v>
      </c>
      <c r="G108" s="35">
        <v>12322429</v>
      </c>
      <c r="H108" s="116">
        <v>10032374</v>
      </c>
      <c r="N108" s="116">
        <v>10032374</v>
      </c>
      <c r="O108" s="116"/>
      <c r="P108" s="116">
        <f>N108+O108</f>
        <v>10032374</v>
      </c>
      <c r="Q108" s="116">
        <v>10032374</v>
      </c>
      <c r="R108" s="102"/>
      <c r="S108" s="116">
        <f>Q108+R108</f>
        <v>10032374</v>
      </c>
    </row>
    <row r="109" spans="1:19" ht="30" customHeight="1">
      <c r="A109" s="41" t="s">
        <v>130</v>
      </c>
      <c r="B109" s="23" t="s">
        <v>110</v>
      </c>
      <c r="C109" s="23" t="s">
        <v>113</v>
      </c>
      <c r="D109" s="24" t="s">
        <v>390</v>
      </c>
      <c r="E109" s="23" t="s">
        <v>134</v>
      </c>
      <c r="F109" s="80">
        <v>0</v>
      </c>
      <c r="G109" s="24" t="s">
        <v>173</v>
      </c>
      <c r="H109" s="116">
        <v>1380</v>
      </c>
      <c r="N109" s="116">
        <v>1380</v>
      </c>
      <c r="O109" s="116"/>
      <c r="P109" s="116">
        <f>N109+O109</f>
        <v>1380</v>
      </c>
      <c r="Q109" s="116">
        <v>1380</v>
      </c>
      <c r="R109" s="102"/>
      <c r="S109" s="116">
        <f>Q109+R109</f>
        <v>1380</v>
      </c>
    </row>
    <row r="110" spans="1:19" ht="36" customHeight="1">
      <c r="A110" s="41" t="s">
        <v>131</v>
      </c>
      <c r="B110" s="23" t="s">
        <v>110</v>
      </c>
      <c r="C110" s="23" t="s">
        <v>113</v>
      </c>
      <c r="D110" s="24" t="s">
        <v>390</v>
      </c>
      <c r="E110" s="23" t="s">
        <v>135</v>
      </c>
      <c r="F110" s="80">
        <v>0</v>
      </c>
      <c r="G110" s="35">
        <v>747684</v>
      </c>
      <c r="H110" s="116">
        <v>667639</v>
      </c>
      <c r="N110" s="116">
        <v>667639</v>
      </c>
      <c r="O110" s="116"/>
      <c r="P110" s="116">
        <f>N110+O110</f>
        <v>667639</v>
      </c>
      <c r="Q110" s="116">
        <v>667639</v>
      </c>
      <c r="R110" s="102"/>
      <c r="S110" s="116">
        <f>Q110+R110</f>
        <v>667639</v>
      </c>
    </row>
    <row r="111" spans="1:19" ht="36" customHeight="1">
      <c r="A111" s="41" t="s">
        <v>161</v>
      </c>
      <c r="B111" s="23" t="s">
        <v>110</v>
      </c>
      <c r="C111" s="23" t="s">
        <v>113</v>
      </c>
      <c r="D111" s="24" t="s">
        <v>390</v>
      </c>
      <c r="E111" s="23" t="s">
        <v>136</v>
      </c>
      <c r="F111" s="80">
        <v>0</v>
      </c>
      <c r="G111" s="35">
        <v>773887</v>
      </c>
      <c r="H111" s="116">
        <v>250407</v>
      </c>
      <c r="N111" s="116">
        <v>250407</v>
      </c>
      <c r="O111" s="116"/>
      <c r="P111" s="116">
        <f>N111+O111</f>
        <v>250407</v>
      </c>
      <c r="Q111" s="116">
        <v>250407</v>
      </c>
      <c r="R111" s="102"/>
      <c r="S111" s="116">
        <f>Q111+R111</f>
        <v>250407</v>
      </c>
    </row>
    <row r="112" spans="1:19" ht="87" customHeight="1">
      <c r="A112" s="67" t="s">
        <v>219</v>
      </c>
      <c r="B112" s="24" t="s">
        <v>110</v>
      </c>
      <c r="C112" s="24" t="s">
        <v>113</v>
      </c>
      <c r="D112" s="24" t="s">
        <v>39</v>
      </c>
      <c r="E112" s="24"/>
      <c r="F112" s="80" t="e">
        <f>#REF!+#REF!+F113</f>
        <v>#REF!</v>
      </c>
      <c r="G112" s="24"/>
      <c r="H112" s="116">
        <f>H113</f>
        <v>3500000</v>
      </c>
      <c r="N112" s="116">
        <f>N113</f>
        <v>3500000</v>
      </c>
      <c r="O112" s="116"/>
      <c r="P112" s="116">
        <f>P113</f>
        <v>3500000</v>
      </c>
      <c r="Q112" s="116">
        <f>Q113</f>
        <v>3500000</v>
      </c>
      <c r="R112" s="102"/>
      <c r="S112" s="116">
        <f>S113</f>
        <v>3500000</v>
      </c>
    </row>
    <row r="113" spans="1:19" ht="32.25" customHeight="1">
      <c r="A113" s="65" t="s">
        <v>221</v>
      </c>
      <c r="B113" s="24" t="s">
        <v>110</v>
      </c>
      <c r="C113" s="24" t="s">
        <v>113</v>
      </c>
      <c r="D113" s="24" t="s">
        <v>222</v>
      </c>
      <c r="E113" s="24"/>
      <c r="F113" s="80" t="e">
        <f>F114+#REF!</f>
        <v>#REF!</v>
      </c>
      <c r="G113" s="24"/>
      <c r="H113" s="116">
        <f>H114</f>
        <v>3500000</v>
      </c>
      <c r="N113" s="116">
        <f>N114</f>
        <v>3500000</v>
      </c>
      <c r="O113" s="116"/>
      <c r="P113" s="116">
        <f>P114</f>
        <v>3500000</v>
      </c>
      <c r="Q113" s="116">
        <f>Q114</f>
        <v>3500000</v>
      </c>
      <c r="R113" s="102"/>
      <c r="S113" s="116">
        <f>S114</f>
        <v>3500000</v>
      </c>
    </row>
    <row r="114" spans="1:19" ht="24.75" customHeight="1">
      <c r="A114" s="65" t="s">
        <v>462</v>
      </c>
      <c r="B114" s="24" t="s">
        <v>110</v>
      </c>
      <c r="C114" s="24" t="s">
        <v>113</v>
      </c>
      <c r="D114" s="24" t="s">
        <v>463</v>
      </c>
      <c r="E114" s="24"/>
      <c r="F114" s="80">
        <v>0</v>
      </c>
      <c r="G114" s="24"/>
      <c r="H114" s="116">
        <f>H115+H116+H117+H118</f>
        <v>3500000</v>
      </c>
      <c r="N114" s="116">
        <f>N115+N116+N117+N118</f>
        <v>3500000</v>
      </c>
      <c r="O114" s="116"/>
      <c r="P114" s="116">
        <f>P115+P116+P117+P118</f>
        <v>3500000</v>
      </c>
      <c r="Q114" s="116">
        <f>Q115+Q116+Q117+Q118</f>
        <v>3500000</v>
      </c>
      <c r="R114" s="102"/>
      <c r="S114" s="116">
        <f>S115+S116+S117+S118</f>
        <v>3500000</v>
      </c>
    </row>
    <row r="115" spans="1:19" ht="21.75" customHeight="1">
      <c r="A115" s="41" t="s">
        <v>129</v>
      </c>
      <c r="B115" s="24" t="s">
        <v>110</v>
      </c>
      <c r="C115" s="24" t="s">
        <v>113</v>
      </c>
      <c r="D115" s="24" t="s">
        <v>463</v>
      </c>
      <c r="E115" s="24" t="s">
        <v>133</v>
      </c>
      <c r="F115" s="80"/>
      <c r="G115" s="24"/>
      <c r="H115" s="116">
        <v>2929865</v>
      </c>
      <c r="N115" s="116">
        <v>2929865</v>
      </c>
      <c r="O115" s="116"/>
      <c r="P115" s="116">
        <f>N115+O115</f>
        <v>2929865</v>
      </c>
      <c r="Q115" s="116">
        <v>2929865</v>
      </c>
      <c r="R115" s="102"/>
      <c r="S115" s="116">
        <f>Q115+R115</f>
        <v>2929865</v>
      </c>
    </row>
    <row r="116" spans="1:19" ht="30" customHeight="1">
      <c r="A116" s="41" t="s">
        <v>130</v>
      </c>
      <c r="B116" s="24" t="s">
        <v>110</v>
      </c>
      <c r="C116" s="24" t="s">
        <v>113</v>
      </c>
      <c r="D116" s="24" t="s">
        <v>463</v>
      </c>
      <c r="E116" s="24" t="s">
        <v>134</v>
      </c>
      <c r="F116" s="80"/>
      <c r="G116" s="24"/>
      <c r="H116" s="116">
        <v>24000</v>
      </c>
      <c r="N116" s="116">
        <v>24000</v>
      </c>
      <c r="O116" s="116"/>
      <c r="P116" s="116">
        <f>N116+O116</f>
        <v>24000</v>
      </c>
      <c r="Q116" s="116">
        <v>24000</v>
      </c>
      <c r="R116" s="102"/>
      <c r="S116" s="116">
        <f>Q116+R116</f>
        <v>24000</v>
      </c>
    </row>
    <row r="117" spans="1:19" ht="36" customHeight="1">
      <c r="A117" s="41" t="s">
        <v>131</v>
      </c>
      <c r="B117" s="24" t="s">
        <v>110</v>
      </c>
      <c r="C117" s="24" t="s">
        <v>113</v>
      </c>
      <c r="D117" s="24" t="s">
        <v>463</v>
      </c>
      <c r="E117" s="24" t="s">
        <v>135</v>
      </c>
      <c r="F117" s="80"/>
      <c r="G117" s="24"/>
      <c r="H117" s="116">
        <v>198353</v>
      </c>
      <c r="N117" s="116">
        <v>198353</v>
      </c>
      <c r="O117" s="116"/>
      <c r="P117" s="116">
        <f>N117+O117</f>
        <v>198353</v>
      </c>
      <c r="Q117" s="116">
        <v>198353</v>
      </c>
      <c r="R117" s="102"/>
      <c r="S117" s="116">
        <f>Q117+R117</f>
        <v>198353</v>
      </c>
    </row>
    <row r="118" spans="1:19" ht="36" customHeight="1">
      <c r="A118" s="41" t="s">
        <v>161</v>
      </c>
      <c r="B118" s="24" t="s">
        <v>110</v>
      </c>
      <c r="C118" s="24" t="s">
        <v>113</v>
      </c>
      <c r="D118" s="24" t="s">
        <v>463</v>
      </c>
      <c r="E118" s="24" t="s">
        <v>136</v>
      </c>
      <c r="F118" s="80"/>
      <c r="G118" s="24"/>
      <c r="H118" s="116">
        <v>347782</v>
      </c>
      <c r="N118" s="116">
        <v>347782</v>
      </c>
      <c r="O118" s="116"/>
      <c r="P118" s="116">
        <f>N118+O118</f>
        <v>347782</v>
      </c>
      <c r="Q118" s="116">
        <v>347782</v>
      </c>
      <c r="R118" s="102"/>
      <c r="S118" s="116">
        <f>Q118+R118</f>
        <v>347782</v>
      </c>
    </row>
    <row r="119" spans="1:19" ht="75" customHeight="1">
      <c r="A119" s="56" t="s">
        <v>409</v>
      </c>
      <c r="B119" s="31"/>
      <c r="C119" s="31" t="s">
        <v>113</v>
      </c>
      <c r="D119" s="31" t="s">
        <v>182</v>
      </c>
      <c r="E119" s="31"/>
      <c r="F119" s="39"/>
      <c r="G119" s="97"/>
      <c r="H119" s="115">
        <f>H120</f>
        <v>30578100</v>
      </c>
      <c r="N119" s="115">
        <f>N120</f>
        <v>7851829</v>
      </c>
      <c r="O119" s="115"/>
      <c r="P119" s="115">
        <f>P120</f>
        <v>7851829</v>
      </c>
      <c r="Q119" s="115">
        <f>Q120</f>
        <v>9827761</v>
      </c>
      <c r="R119" s="102"/>
      <c r="S119" s="115">
        <f>S120</f>
        <v>9827761</v>
      </c>
    </row>
    <row r="120" spans="1:19" ht="37.5" customHeight="1">
      <c r="A120" s="41" t="s">
        <v>184</v>
      </c>
      <c r="B120" s="23"/>
      <c r="C120" s="24" t="s">
        <v>113</v>
      </c>
      <c r="D120" s="24" t="s">
        <v>410</v>
      </c>
      <c r="E120" s="23"/>
      <c r="F120" s="39"/>
      <c r="G120" s="27"/>
      <c r="H120" s="115">
        <f>H121</f>
        <v>30578100</v>
      </c>
      <c r="N120" s="115">
        <f>N121</f>
        <v>7851829</v>
      </c>
      <c r="O120" s="115"/>
      <c r="P120" s="115">
        <f>P121</f>
        <v>7851829</v>
      </c>
      <c r="Q120" s="115">
        <f>Q121</f>
        <v>9827761</v>
      </c>
      <c r="R120" s="102"/>
      <c r="S120" s="115">
        <f>S121</f>
        <v>9827761</v>
      </c>
    </row>
    <row r="121" spans="1:19" ht="30" customHeight="1">
      <c r="A121" s="41" t="s">
        <v>411</v>
      </c>
      <c r="B121" s="23"/>
      <c r="C121" s="24" t="s">
        <v>113</v>
      </c>
      <c r="D121" s="24" t="s">
        <v>185</v>
      </c>
      <c r="E121" s="24" t="s">
        <v>150</v>
      </c>
      <c r="F121" s="39"/>
      <c r="G121" s="27"/>
      <c r="H121" s="115">
        <v>30578100</v>
      </c>
      <c r="N121" s="115">
        <v>7851829</v>
      </c>
      <c r="O121" s="115"/>
      <c r="P121" s="116">
        <f>N121+O121</f>
        <v>7851829</v>
      </c>
      <c r="Q121" s="115">
        <v>9827761</v>
      </c>
      <c r="R121" s="102"/>
      <c r="S121" s="116">
        <f>Q121+R121</f>
        <v>9827761</v>
      </c>
    </row>
    <row r="122" spans="1:19" ht="21" customHeight="1">
      <c r="A122" s="41" t="s">
        <v>42</v>
      </c>
      <c r="B122" s="23"/>
      <c r="C122" s="26" t="s">
        <v>43</v>
      </c>
      <c r="D122" s="24"/>
      <c r="E122" s="24"/>
      <c r="F122" s="39"/>
      <c r="G122" s="27"/>
      <c r="H122" s="115">
        <f>H124</f>
        <v>1441700</v>
      </c>
      <c r="N122" s="115">
        <f>N124</f>
        <v>1445900</v>
      </c>
      <c r="O122" s="115"/>
      <c r="P122" s="115">
        <f>P124</f>
        <v>1445900</v>
      </c>
      <c r="Q122" s="115">
        <f>Q124</f>
        <v>1445900</v>
      </c>
      <c r="R122" s="102"/>
      <c r="S122" s="115">
        <f>S124</f>
        <v>1445900</v>
      </c>
    </row>
    <row r="123" spans="1:19" ht="65.25" customHeight="1">
      <c r="A123" s="162" t="s">
        <v>482</v>
      </c>
      <c r="B123" s="23"/>
      <c r="C123" s="26" t="s">
        <v>93</v>
      </c>
      <c r="D123" s="24" t="s">
        <v>112</v>
      </c>
      <c r="E123" s="24"/>
      <c r="F123" s="39"/>
      <c r="G123" s="27"/>
      <c r="H123" s="115">
        <f>H124</f>
        <v>1441700</v>
      </c>
      <c r="I123" s="115">
        <f aca="true" t="shared" si="13" ref="I123:P123">I124</f>
        <v>0</v>
      </c>
      <c r="J123" s="115">
        <f t="shared" si="13"/>
        <v>0</v>
      </c>
      <c r="K123" s="115">
        <f t="shared" si="13"/>
        <v>0</v>
      </c>
      <c r="L123" s="115">
        <f t="shared" si="13"/>
        <v>0</v>
      </c>
      <c r="M123" s="115">
        <f t="shared" si="13"/>
        <v>0</v>
      </c>
      <c r="N123" s="115">
        <f t="shared" si="13"/>
        <v>1445900</v>
      </c>
      <c r="O123" s="115"/>
      <c r="P123" s="115">
        <f t="shared" si="13"/>
        <v>1445900</v>
      </c>
      <c r="Q123" s="115">
        <f>Q124</f>
        <v>1445900</v>
      </c>
      <c r="R123" s="102"/>
      <c r="S123" s="115">
        <f>S124</f>
        <v>1445900</v>
      </c>
    </row>
    <row r="124" spans="1:19" ht="78.75">
      <c r="A124" s="36" t="s">
        <v>213</v>
      </c>
      <c r="B124" s="23"/>
      <c r="C124" s="23" t="s">
        <v>93</v>
      </c>
      <c r="D124" s="158" t="s">
        <v>214</v>
      </c>
      <c r="E124" s="23"/>
      <c r="F124" s="39" t="e">
        <f>F127+#REF!+F126+F125</f>
        <v>#REF!</v>
      </c>
      <c r="G124" s="27"/>
      <c r="H124" s="115">
        <f>H127+H126+H125</f>
        <v>1441700</v>
      </c>
      <c r="I124" s="115">
        <f aca="true" t="shared" si="14" ref="I124:Q124">I127+I126+I125</f>
        <v>0</v>
      </c>
      <c r="J124" s="115">
        <f t="shared" si="14"/>
        <v>0</v>
      </c>
      <c r="K124" s="115">
        <f t="shared" si="14"/>
        <v>0</v>
      </c>
      <c r="L124" s="115">
        <f t="shared" si="14"/>
        <v>0</v>
      </c>
      <c r="M124" s="115">
        <f t="shared" si="14"/>
        <v>0</v>
      </c>
      <c r="N124" s="115">
        <f t="shared" si="14"/>
        <v>1445900</v>
      </c>
      <c r="O124" s="115"/>
      <c r="P124" s="115">
        <f>P127+P126+P125</f>
        <v>1445900</v>
      </c>
      <c r="Q124" s="115">
        <f t="shared" si="14"/>
        <v>1445900</v>
      </c>
      <c r="R124" s="102"/>
      <c r="S124" s="115">
        <f>S127+S126+S125</f>
        <v>1445900</v>
      </c>
    </row>
    <row r="125" spans="1:19" ht="18.75" customHeight="1">
      <c r="A125" s="41" t="s">
        <v>129</v>
      </c>
      <c r="B125" s="23">
        <v>901</v>
      </c>
      <c r="C125" s="23" t="s">
        <v>93</v>
      </c>
      <c r="D125" s="24" t="s">
        <v>415</v>
      </c>
      <c r="E125" s="23" t="s">
        <v>133</v>
      </c>
      <c r="F125" s="146">
        <v>0</v>
      </c>
      <c r="G125" s="27">
        <v>1004500</v>
      </c>
      <c r="H125" s="116">
        <v>1048780</v>
      </c>
      <c r="N125" s="116">
        <v>1048780</v>
      </c>
      <c r="O125" s="116"/>
      <c r="P125" s="116">
        <f>N125+O125</f>
        <v>1048780</v>
      </c>
      <c r="Q125" s="116">
        <v>1048780</v>
      </c>
      <c r="R125" s="102"/>
      <c r="S125" s="116">
        <f>Q125+R125</f>
        <v>1048780</v>
      </c>
    </row>
    <row r="126" spans="1:19" ht="47.25">
      <c r="A126" s="41" t="s">
        <v>131</v>
      </c>
      <c r="B126" s="23">
        <v>901</v>
      </c>
      <c r="C126" s="23" t="s">
        <v>93</v>
      </c>
      <c r="D126" s="24" t="s">
        <v>415</v>
      </c>
      <c r="E126" s="23" t="s">
        <v>135</v>
      </c>
      <c r="F126" s="146">
        <v>0</v>
      </c>
      <c r="G126" s="27">
        <v>168250</v>
      </c>
      <c r="H126" s="116">
        <v>62132</v>
      </c>
      <c r="N126" s="116">
        <v>62132</v>
      </c>
      <c r="O126" s="116"/>
      <c r="P126" s="116">
        <f>N126+O126</f>
        <v>62132</v>
      </c>
      <c r="Q126" s="116">
        <v>62132</v>
      </c>
      <c r="R126" s="102"/>
      <c r="S126" s="116">
        <f>Q126+R126</f>
        <v>62132</v>
      </c>
    </row>
    <row r="127" spans="1:19" ht="31.5">
      <c r="A127" s="41" t="s">
        <v>161</v>
      </c>
      <c r="B127" s="23">
        <v>901</v>
      </c>
      <c r="C127" s="23" t="s">
        <v>93</v>
      </c>
      <c r="D127" s="24" t="s">
        <v>415</v>
      </c>
      <c r="E127" s="23" t="s">
        <v>136</v>
      </c>
      <c r="F127" s="146">
        <v>0</v>
      </c>
      <c r="G127" s="27">
        <v>545650</v>
      </c>
      <c r="H127" s="116">
        <v>330788</v>
      </c>
      <c r="N127" s="116">
        <v>334988</v>
      </c>
      <c r="O127" s="116"/>
      <c r="P127" s="116">
        <f>N127+O127</f>
        <v>334988</v>
      </c>
      <c r="Q127" s="116">
        <v>334988</v>
      </c>
      <c r="R127" s="102"/>
      <c r="S127" s="116">
        <f>Q127+R127</f>
        <v>334988</v>
      </c>
    </row>
    <row r="128" spans="1:19" ht="36" customHeight="1">
      <c r="A128" s="98" t="s">
        <v>95</v>
      </c>
      <c r="B128" s="90" t="s">
        <v>44</v>
      </c>
      <c r="C128" s="90" t="s">
        <v>44</v>
      </c>
      <c r="D128" s="90"/>
      <c r="E128" s="87"/>
      <c r="F128" s="147" t="e">
        <f>SUM(F129+F145+#REF!)</f>
        <v>#REF!</v>
      </c>
      <c r="G128" s="88"/>
      <c r="H128" s="120">
        <f>H129+H145+H152</f>
        <v>4484000</v>
      </c>
      <c r="N128" s="120">
        <f>N129+N145+N152</f>
        <v>4813200</v>
      </c>
      <c r="O128" s="120"/>
      <c r="P128" s="120">
        <f>P129+P145+P152</f>
        <v>4813200</v>
      </c>
      <c r="Q128" s="120">
        <f>Q129+Q145+Q152</f>
        <v>5053860</v>
      </c>
      <c r="R128" s="102"/>
      <c r="S128" s="120">
        <f>S129+S145+S152</f>
        <v>5053860</v>
      </c>
    </row>
    <row r="129" spans="1:19" ht="54" customHeight="1">
      <c r="A129" s="86" t="s">
        <v>175</v>
      </c>
      <c r="B129" s="87"/>
      <c r="C129" s="87" t="s">
        <v>45</v>
      </c>
      <c r="D129" s="87"/>
      <c r="E129" s="87"/>
      <c r="F129" s="147" t="e">
        <f>F136+#REF!</f>
        <v>#REF!</v>
      </c>
      <c r="G129" s="88"/>
      <c r="H129" s="120">
        <f>H130+H136</f>
        <v>2928000</v>
      </c>
      <c r="N129" s="120">
        <f>N130+N136</f>
        <v>3257200</v>
      </c>
      <c r="O129" s="120"/>
      <c r="P129" s="120">
        <f>P130+P136</f>
        <v>3257200</v>
      </c>
      <c r="Q129" s="120">
        <f>Q130+Q136</f>
        <v>3497860</v>
      </c>
      <c r="R129" s="102"/>
      <c r="S129" s="120">
        <f>S130+S136</f>
        <v>3497860</v>
      </c>
    </row>
    <row r="130" spans="1:19" ht="54" customHeight="1">
      <c r="A130" s="85" t="s">
        <v>433</v>
      </c>
      <c r="B130" s="14"/>
      <c r="C130" s="24" t="s">
        <v>45</v>
      </c>
      <c r="D130" s="24" t="s">
        <v>112</v>
      </c>
      <c r="E130" s="24"/>
      <c r="F130" s="80"/>
      <c r="G130" s="24"/>
      <c r="H130" s="116">
        <f>H131</f>
        <v>800000</v>
      </c>
      <c r="N130" s="116">
        <f>N131</f>
        <v>800000</v>
      </c>
      <c r="O130" s="116"/>
      <c r="P130" s="116">
        <f>P131</f>
        <v>800000</v>
      </c>
      <c r="Q130" s="116">
        <f>Q131</f>
        <v>800000</v>
      </c>
      <c r="R130" s="102"/>
      <c r="S130" s="116">
        <f>S131</f>
        <v>800000</v>
      </c>
    </row>
    <row r="131" spans="1:19" ht="67.5" customHeight="1">
      <c r="A131" s="64" t="s">
        <v>434</v>
      </c>
      <c r="B131" s="14"/>
      <c r="C131" s="24" t="s">
        <v>45</v>
      </c>
      <c r="D131" s="24" t="s">
        <v>436</v>
      </c>
      <c r="E131" s="24"/>
      <c r="F131" s="80"/>
      <c r="G131" s="24"/>
      <c r="H131" s="116">
        <f>H132</f>
        <v>800000</v>
      </c>
      <c r="N131" s="116">
        <f>N132</f>
        <v>800000</v>
      </c>
      <c r="O131" s="116"/>
      <c r="P131" s="116">
        <f>P132</f>
        <v>800000</v>
      </c>
      <c r="Q131" s="116">
        <f>Q132</f>
        <v>800000</v>
      </c>
      <c r="R131" s="102"/>
      <c r="S131" s="116">
        <f>S132</f>
        <v>800000</v>
      </c>
    </row>
    <row r="132" spans="1:19" ht="54.75" customHeight="1">
      <c r="A132" s="64" t="s">
        <v>435</v>
      </c>
      <c r="B132" s="14"/>
      <c r="C132" s="24" t="s">
        <v>45</v>
      </c>
      <c r="D132" s="24" t="s">
        <v>437</v>
      </c>
      <c r="E132" s="24"/>
      <c r="F132" s="80"/>
      <c r="G132" s="24"/>
      <c r="H132" s="116">
        <f>H133+H134+H135</f>
        <v>800000</v>
      </c>
      <c r="N132" s="116">
        <f>N133+N134+N135</f>
        <v>800000</v>
      </c>
      <c r="O132" s="116"/>
      <c r="P132" s="116">
        <f>P133+P134+P135</f>
        <v>800000</v>
      </c>
      <c r="Q132" s="116">
        <f>Q133+Q134+Q135</f>
        <v>800000</v>
      </c>
      <c r="R132" s="102"/>
      <c r="S132" s="116">
        <f>S133+S134+S135</f>
        <v>800000</v>
      </c>
    </row>
    <row r="133" spans="1:19" ht="36" customHeight="1">
      <c r="A133" s="85" t="s">
        <v>131</v>
      </c>
      <c r="B133" s="14"/>
      <c r="C133" s="40" t="s">
        <v>45</v>
      </c>
      <c r="D133" s="40" t="s">
        <v>437</v>
      </c>
      <c r="E133" s="40" t="s">
        <v>135</v>
      </c>
      <c r="F133" s="80"/>
      <c r="G133" s="24"/>
      <c r="H133" s="116">
        <v>22020</v>
      </c>
      <c r="N133" s="116">
        <v>22020</v>
      </c>
      <c r="O133" s="116"/>
      <c r="P133" s="116">
        <f>N133+O133</f>
        <v>22020</v>
      </c>
      <c r="Q133" s="116">
        <v>22020</v>
      </c>
      <c r="R133" s="102"/>
      <c r="S133" s="116">
        <f>Q133+R133</f>
        <v>22020</v>
      </c>
    </row>
    <row r="134" spans="1:19" ht="31.5" customHeight="1">
      <c r="A134" s="85" t="s">
        <v>161</v>
      </c>
      <c r="B134" s="14"/>
      <c r="C134" s="40" t="s">
        <v>45</v>
      </c>
      <c r="D134" s="40" t="s">
        <v>437</v>
      </c>
      <c r="E134" s="40" t="s">
        <v>136</v>
      </c>
      <c r="F134" s="80"/>
      <c r="G134" s="24"/>
      <c r="H134" s="116">
        <v>768000</v>
      </c>
      <c r="N134" s="116">
        <v>768000</v>
      </c>
      <c r="O134" s="116"/>
      <c r="P134" s="116">
        <f>N134+O134</f>
        <v>768000</v>
      </c>
      <c r="Q134" s="116">
        <v>768000</v>
      </c>
      <c r="R134" s="102"/>
      <c r="S134" s="116">
        <f>Q134+R134</f>
        <v>768000</v>
      </c>
    </row>
    <row r="135" spans="1:19" ht="21" customHeight="1">
      <c r="A135" s="85" t="s">
        <v>140</v>
      </c>
      <c r="B135" s="14"/>
      <c r="C135" s="40" t="s">
        <v>45</v>
      </c>
      <c r="D135" s="40" t="s">
        <v>437</v>
      </c>
      <c r="E135" s="40" t="s">
        <v>141</v>
      </c>
      <c r="F135" s="80"/>
      <c r="G135" s="24"/>
      <c r="H135" s="116">
        <v>9980</v>
      </c>
      <c r="N135" s="116">
        <v>9980</v>
      </c>
      <c r="O135" s="116"/>
      <c r="P135" s="116">
        <f>N135+O135</f>
        <v>9980</v>
      </c>
      <c r="Q135" s="116">
        <v>9980</v>
      </c>
      <c r="R135" s="102"/>
      <c r="S135" s="116">
        <f>Q135+R135</f>
        <v>9980</v>
      </c>
    </row>
    <row r="136" spans="1:19" ht="93" customHeight="1">
      <c r="A136" s="51" t="s">
        <v>219</v>
      </c>
      <c r="B136" s="24">
        <v>901</v>
      </c>
      <c r="C136" s="24" t="s">
        <v>45</v>
      </c>
      <c r="D136" s="24" t="s">
        <v>39</v>
      </c>
      <c r="E136" s="24"/>
      <c r="F136" s="80" t="e">
        <f>#REF!+#REF!</f>
        <v>#REF!</v>
      </c>
      <c r="G136" s="24"/>
      <c r="H136" s="116">
        <f>H137</f>
        <v>2128000</v>
      </c>
      <c r="N136" s="116">
        <f>N137</f>
        <v>2457200</v>
      </c>
      <c r="O136" s="116"/>
      <c r="P136" s="116">
        <f>P137</f>
        <v>2457200</v>
      </c>
      <c r="Q136" s="116">
        <f>Q137</f>
        <v>2697860</v>
      </c>
      <c r="R136" s="102"/>
      <c r="S136" s="116">
        <f>S137</f>
        <v>2697860</v>
      </c>
    </row>
    <row r="137" spans="1:19" ht="33.75" customHeight="1">
      <c r="A137" s="52" t="s">
        <v>221</v>
      </c>
      <c r="B137" s="24" t="s">
        <v>110</v>
      </c>
      <c r="C137" s="24" t="s">
        <v>45</v>
      </c>
      <c r="D137" s="24" t="s">
        <v>222</v>
      </c>
      <c r="E137" s="24"/>
      <c r="F137" s="80"/>
      <c r="G137" s="24"/>
      <c r="H137" s="116">
        <f>H138</f>
        <v>2128000</v>
      </c>
      <c r="N137" s="116">
        <f>N138</f>
        <v>2457200</v>
      </c>
      <c r="O137" s="116"/>
      <c r="P137" s="116">
        <f>P138</f>
        <v>2457200</v>
      </c>
      <c r="Q137" s="116">
        <f>Q138</f>
        <v>2697860</v>
      </c>
      <c r="R137" s="102"/>
      <c r="S137" s="116">
        <f>S138</f>
        <v>2697860</v>
      </c>
    </row>
    <row r="138" spans="1:19" ht="26.25" customHeight="1">
      <c r="A138" s="53" t="s">
        <v>223</v>
      </c>
      <c r="B138" s="24" t="s">
        <v>110</v>
      </c>
      <c r="C138" s="24" t="s">
        <v>45</v>
      </c>
      <c r="D138" s="24" t="s">
        <v>224</v>
      </c>
      <c r="E138" s="24"/>
      <c r="F138" s="80"/>
      <c r="G138" s="24"/>
      <c r="H138" s="116">
        <f>H139+H140+H141+H142</f>
        <v>2128000</v>
      </c>
      <c r="N138" s="116">
        <f>N139+N140+N141+N142</f>
        <v>2457200</v>
      </c>
      <c r="O138" s="116"/>
      <c r="P138" s="116">
        <f>P139+P140+P141+P142</f>
        <v>2457200</v>
      </c>
      <c r="Q138" s="116">
        <f>Q139+Q140+Q141+Q142</f>
        <v>2697860</v>
      </c>
      <c r="R138" s="102"/>
      <c r="S138" s="116">
        <f>S139+S140+S141+S142</f>
        <v>2697860</v>
      </c>
    </row>
    <row r="139" spans="1:19" ht="21" customHeight="1">
      <c r="A139" s="41" t="s">
        <v>129</v>
      </c>
      <c r="B139" s="24" t="s">
        <v>110</v>
      </c>
      <c r="C139" s="24" t="s">
        <v>45</v>
      </c>
      <c r="D139" s="24" t="s">
        <v>224</v>
      </c>
      <c r="E139" s="24" t="s">
        <v>133</v>
      </c>
      <c r="F139" s="80"/>
      <c r="G139" s="24"/>
      <c r="H139" s="116">
        <v>1422803</v>
      </c>
      <c r="N139" s="116">
        <v>1622803</v>
      </c>
      <c r="O139" s="116"/>
      <c r="P139" s="116">
        <f aca="true" t="shared" si="15" ref="P139:P144">N139+O139</f>
        <v>1622803</v>
      </c>
      <c r="Q139" s="116">
        <v>1722803</v>
      </c>
      <c r="R139" s="102"/>
      <c r="S139" s="116">
        <f aca="true" t="shared" si="16" ref="S139:S144">Q139+R139</f>
        <v>1722803</v>
      </c>
    </row>
    <row r="140" spans="1:19" ht="35.25" customHeight="1">
      <c r="A140" s="41" t="s">
        <v>130</v>
      </c>
      <c r="B140" s="24" t="s">
        <v>110</v>
      </c>
      <c r="C140" s="24" t="s">
        <v>45</v>
      </c>
      <c r="D140" s="24" t="s">
        <v>224</v>
      </c>
      <c r="E140" s="24" t="s">
        <v>134</v>
      </c>
      <c r="F140" s="80"/>
      <c r="G140" s="24"/>
      <c r="H140" s="116">
        <v>42194</v>
      </c>
      <c r="N140" s="116">
        <v>42194</v>
      </c>
      <c r="O140" s="116"/>
      <c r="P140" s="116">
        <f t="shared" si="15"/>
        <v>42194</v>
      </c>
      <c r="Q140" s="116">
        <v>42194</v>
      </c>
      <c r="R140" s="102"/>
      <c r="S140" s="116">
        <f t="shared" si="16"/>
        <v>42194</v>
      </c>
    </row>
    <row r="141" spans="1:19" ht="20.25" customHeight="1">
      <c r="A141" s="41" t="s">
        <v>131</v>
      </c>
      <c r="B141" s="24" t="s">
        <v>110</v>
      </c>
      <c r="C141" s="24" t="s">
        <v>45</v>
      </c>
      <c r="D141" s="24" t="s">
        <v>224</v>
      </c>
      <c r="E141" s="24" t="s">
        <v>135</v>
      </c>
      <c r="F141" s="80"/>
      <c r="G141" s="24"/>
      <c r="H141" s="116">
        <v>123003</v>
      </c>
      <c r="N141" s="116">
        <v>123003</v>
      </c>
      <c r="O141" s="116"/>
      <c r="P141" s="116">
        <f t="shared" si="15"/>
        <v>123003</v>
      </c>
      <c r="Q141" s="116">
        <v>123003</v>
      </c>
      <c r="R141" s="102"/>
      <c r="S141" s="116">
        <f t="shared" si="16"/>
        <v>123003</v>
      </c>
    </row>
    <row r="142" spans="1:19" ht="35.25" customHeight="1">
      <c r="A142" s="41" t="s">
        <v>161</v>
      </c>
      <c r="B142" s="24" t="s">
        <v>110</v>
      </c>
      <c r="C142" s="24" t="s">
        <v>45</v>
      </c>
      <c r="D142" s="24" t="s">
        <v>224</v>
      </c>
      <c r="E142" s="24" t="s">
        <v>136</v>
      </c>
      <c r="F142" s="80"/>
      <c r="G142" s="24"/>
      <c r="H142" s="116">
        <v>540000</v>
      </c>
      <c r="N142" s="116">
        <v>669200</v>
      </c>
      <c r="O142" s="116"/>
      <c r="P142" s="116">
        <f t="shared" si="15"/>
        <v>669200</v>
      </c>
      <c r="Q142" s="116">
        <v>809860</v>
      </c>
      <c r="R142" s="102"/>
      <c r="S142" s="116">
        <f t="shared" si="16"/>
        <v>809860</v>
      </c>
    </row>
    <row r="143" spans="1:19" ht="33.75" customHeight="1">
      <c r="A143" s="36" t="s">
        <v>131</v>
      </c>
      <c r="B143" s="87" t="s">
        <v>110</v>
      </c>
      <c r="C143" s="87" t="s">
        <v>45</v>
      </c>
      <c r="D143" s="87" t="s">
        <v>170</v>
      </c>
      <c r="E143" s="87" t="s">
        <v>135</v>
      </c>
      <c r="F143" s="147">
        <v>0</v>
      </c>
      <c r="G143" s="88">
        <v>91000</v>
      </c>
      <c r="H143" s="120">
        <f>F143+G143</f>
        <v>91000</v>
      </c>
      <c r="N143" s="120">
        <f>L143+M143</f>
        <v>0</v>
      </c>
      <c r="O143" s="120"/>
      <c r="P143" s="116">
        <f t="shared" si="15"/>
        <v>0</v>
      </c>
      <c r="Q143" s="120">
        <f>M143+N143</f>
        <v>0</v>
      </c>
      <c r="R143" s="102"/>
      <c r="S143" s="116">
        <f t="shared" si="16"/>
        <v>0</v>
      </c>
    </row>
    <row r="144" spans="1:19" ht="36" customHeight="1">
      <c r="A144" s="36" t="s">
        <v>161</v>
      </c>
      <c r="B144" s="87" t="s">
        <v>110</v>
      </c>
      <c r="C144" s="87" t="s">
        <v>45</v>
      </c>
      <c r="D144" s="87" t="s">
        <v>170</v>
      </c>
      <c r="E144" s="87" t="s">
        <v>136</v>
      </c>
      <c r="F144" s="147">
        <v>0</v>
      </c>
      <c r="G144" s="88">
        <v>258754</v>
      </c>
      <c r="H144" s="120">
        <f>F144+G144</f>
        <v>258754</v>
      </c>
      <c r="N144" s="120">
        <f>L144+M144</f>
        <v>0</v>
      </c>
      <c r="O144" s="120"/>
      <c r="P144" s="116">
        <f t="shared" si="15"/>
        <v>0</v>
      </c>
      <c r="Q144" s="120">
        <f>M144+N144</f>
        <v>0</v>
      </c>
      <c r="R144" s="102"/>
      <c r="S144" s="116">
        <f t="shared" si="16"/>
        <v>0</v>
      </c>
    </row>
    <row r="145" spans="1:19" ht="15.75">
      <c r="A145" s="86" t="s">
        <v>96</v>
      </c>
      <c r="B145" s="90"/>
      <c r="C145" s="87" t="s">
        <v>46</v>
      </c>
      <c r="D145" s="87"/>
      <c r="E145" s="87"/>
      <c r="F145" s="147">
        <f>F146+F150</f>
        <v>0</v>
      </c>
      <c r="G145" s="88"/>
      <c r="H145" s="120">
        <f>H146</f>
        <v>1155000</v>
      </c>
      <c r="N145" s="120">
        <f>N146</f>
        <v>1155000</v>
      </c>
      <c r="O145" s="120"/>
      <c r="P145" s="120">
        <f>P146</f>
        <v>1155000</v>
      </c>
      <c r="Q145" s="120">
        <f>Q146</f>
        <v>1155000</v>
      </c>
      <c r="R145" s="102"/>
      <c r="S145" s="120">
        <f>S146</f>
        <v>1155000</v>
      </c>
    </row>
    <row r="146" spans="1:19" ht="20.25" customHeight="1">
      <c r="A146" s="85" t="s">
        <v>433</v>
      </c>
      <c r="B146" s="14"/>
      <c r="C146" s="40" t="s">
        <v>46</v>
      </c>
      <c r="D146" s="40" t="s">
        <v>112</v>
      </c>
      <c r="E146" s="40"/>
      <c r="F146" s="148"/>
      <c r="G146" s="18"/>
      <c r="H146" s="121">
        <f>H147</f>
        <v>1155000</v>
      </c>
      <c r="N146" s="121">
        <f>N147</f>
        <v>1155000</v>
      </c>
      <c r="O146" s="121"/>
      <c r="P146" s="121">
        <f>P147</f>
        <v>1155000</v>
      </c>
      <c r="Q146" s="121">
        <f>Q147</f>
        <v>1155000</v>
      </c>
      <c r="R146" s="102"/>
      <c r="S146" s="121">
        <f>S147</f>
        <v>1155000</v>
      </c>
    </row>
    <row r="147" spans="1:19" ht="47.25" customHeight="1">
      <c r="A147" s="85" t="s">
        <v>438</v>
      </c>
      <c r="B147" s="14"/>
      <c r="C147" s="40" t="s">
        <v>46</v>
      </c>
      <c r="D147" s="40" t="s">
        <v>441</v>
      </c>
      <c r="E147" s="40"/>
      <c r="F147" s="148"/>
      <c r="G147" s="18"/>
      <c r="H147" s="121">
        <f>H148+H150</f>
        <v>1155000</v>
      </c>
      <c r="N147" s="121">
        <f>N148+N150</f>
        <v>1155000</v>
      </c>
      <c r="O147" s="121"/>
      <c r="P147" s="121">
        <f>P148+P150</f>
        <v>1155000</v>
      </c>
      <c r="Q147" s="121">
        <f>Q148+Q150</f>
        <v>1155000</v>
      </c>
      <c r="R147" s="102"/>
      <c r="S147" s="121">
        <f>S148+S150</f>
        <v>1155000</v>
      </c>
    </row>
    <row r="148" spans="1:19" ht="35.25" customHeight="1">
      <c r="A148" s="85" t="s">
        <v>439</v>
      </c>
      <c r="B148" s="14"/>
      <c r="C148" s="40" t="s">
        <v>46</v>
      </c>
      <c r="D148" s="40" t="s">
        <v>442</v>
      </c>
      <c r="E148" s="40"/>
      <c r="F148" s="148"/>
      <c r="G148" s="89"/>
      <c r="H148" s="121">
        <f>H149</f>
        <v>361000</v>
      </c>
      <c r="N148" s="121">
        <f>N149</f>
        <v>361000</v>
      </c>
      <c r="O148" s="121"/>
      <c r="P148" s="121">
        <f>P149</f>
        <v>361000</v>
      </c>
      <c r="Q148" s="121">
        <f>Q149</f>
        <v>361000</v>
      </c>
      <c r="R148" s="102"/>
      <c r="S148" s="121">
        <f>S149</f>
        <v>361000</v>
      </c>
    </row>
    <row r="149" spans="1:19" ht="35.25" customHeight="1">
      <c r="A149" s="85" t="s">
        <v>161</v>
      </c>
      <c r="B149" s="14"/>
      <c r="C149" s="40" t="s">
        <v>46</v>
      </c>
      <c r="D149" s="40" t="s">
        <v>442</v>
      </c>
      <c r="E149" s="40" t="s">
        <v>136</v>
      </c>
      <c r="F149" s="148"/>
      <c r="G149" s="89"/>
      <c r="H149" s="121">
        <v>361000</v>
      </c>
      <c r="N149" s="121">
        <v>361000</v>
      </c>
      <c r="O149" s="121"/>
      <c r="P149" s="116">
        <f>N149+O149</f>
        <v>361000</v>
      </c>
      <c r="Q149" s="121">
        <v>361000</v>
      </c>
      <c r="R149" s="102"/>
      <c r="S149" s="116">
        <f>Q149+R149</f>
        <v>361000</v>
      </c>
    </row>
    <row r="150" spans="1:19" ht="55.5" customHeight="1">
      <c r="A150" s="85" t="s">
        <v>440</v>
      </c>
      <c r="B150" s="14"/>
      <c r="C150" s="40" t="s">
        <v>46</v>
      </c>
      <c r="D150" s="40" t="s">
        <v>443</v>
      </c>
      <c r="E150" s="40"/>
      <c r="F150" s="149">
        <f>F151</f>
        <v>0</v>
      </c>
      <c r="G150" s="18"/>
      <c r="H150" s="120">
        <f>H151</f>
        <v>794000</v>
      </c>
      <c r="N150" s="120">
        <f>N151</f>
        <v>794000</v>
      </c>
      <c r="O150" s="120"/>
      <c r="P150" s="120">
        <f>P151</f>
        <v>794000</v>
      </c>
      <c r="Q150" s="120">
        <f>Q151</f>
        <v>794000</v>
      </c>
      <c r="R150" s="102"/>
      <c r="S150" s="120">
        <f>S151</f>
        <v>794000</v>
      </c>
    </row>
    <row r="151" spans="1:19" ht="33" customHeight="1">
      <c r="A151" s="85" t="s">
        <v>161</v>
      </c>
      <c r="B151" s="14"/>
      <c r="C151" s="40" t="s">
        <v>46</v>
      </c>
      <c r="D151" s="40" t="s">
        <v>443</v>
      </c>
      <c r="E151" s="40" t="s">
        <v>136</v>
      </c>
      <c r="F151" s="149">
        <v>0</v>
      </c>
      <c r="G151" s="18" t="s">
        <v>444</v>
      </c>
      <c r="H151" s="120">
        <v>794000</v>
      </c>
      <c r="N151" s="120">
        <v>794000</v>
      </c>
      <c r="O151" s="120"/>
      <c r="P151" s="116">
        <f>N151+O151</f>
        <v>794000</v>
      </c>
      <c r="Q151" s="120">
        <v>794000</v>
      </c>
      <c r="R151" s="102"/>
      <c r="S151" s="116">
        <f>Q151+R151</f>
        <v>794000</v>
      </c>
    </row>
    <row r="152" spans="1:19" ht="33" customHeight="1">
      <c r="A152" s="85" t="s">
        <v>445</v>
      </c>
      <c r="B152" s="14"/>
      <c r="C152" s="40" t="s">
        <v>450</v>
      </c>
      <c r="D152" s="40"/>
      <c r="E152" s="40"/>
      <c r="F152" s="150"/>
      <c r="G152" s="18"/>
      <c r="H152" s="120">
        <f>H153+H157</f>
        <v>401000</v>
      </c>
      <c r="N152" s="120">
        <f>N153+N157</f>
        <v>401000</v>
      </c>
      <c r="O152" s="120"/>
      <c r="P152" s="120">
        <f>P153+P157</f>
        <v>401000</v>
      </c>
      <c r="Q152" s="120">
        <f>Q153+Q157</f>
        <v>401000</v>
      </c>
      <c r="R152" s="102"/>
      <c r="S152" s="120">
        <f>S153+S157</f>
        <v>401000</v>
      </c>
    </row>
    <row r="153" spans="1:19" ht="66" customHeight="1">
      <c r="A153" s="163" t="s">
        <v>433</v>
      </c>
      <c r="B153" s="14"/>
      <c r="C153" s="40" t="s">
        <v>450</v>
      </c>
      <c r="D153" s="40" t="s">
        <v>112</v>
      </c>
      <c r="E153" s="40"/>
      <c r="F153" s="150"/>
      <c r="G153" s="18"/>
      <c r="H153" s="120">
        <f>H154</f>
        <v>301000</v>
      </c>
      <c r="N153" s="120">
        <f aca="true" t="shared" si="17" ref="N153:S155">N154</f>
        <v>301000</v>
      </c>
      <c r="O153" s="120"/>
      <c r="P153" s="120">
        <f t="shared" si="17"/>
        <v>301000</v>
      </c>
      <c r="Q153" s="120">
        <f t="shared" si="17"/>
        <v>301000</v>
      </c>
      <c r="R153" s="102"/>
      <c r="S153" s="120">
        <f t="shared" si="17"/>
        <v>301000</v>
      </c>
    </row>
    <row r="154" spans="1:19" ht="33" customHeight="1">
      <c r="A154" s="91" t="s">
        <v>446</v>
      </c>
      <c r="B154" s="14"/>
      <c r="C154" s="40" t="s">
        <v>450</v>
      </c>
      <c r="D154" s="40" t="s">
        <v>451</v>
      </c>
      <c r="E154" s="40"/>
      <c r="F154" s="150"/>
      <c r="G154" s="18"/>
      <c r="H154" s="120">
        <f>H155</f>
        <v>301000</v>
      </c>
      <c r="N154" s="120">
        <f t="shared" si="17"/>
        <v>301000</v>
      </c>
      <c r="O154" s="120"/>
      <c r="P154" s="120">
        <f t="shared" si="17"/>
        <v>301000</v>
      </c>
      <c r="Q154" s="120">
        <f t="shared" si="17"/>
        <v>301000</v>
      </c>
      <c r="R154" s="102"/>
      <c r="S154" s="120">
        <f t="shared" si="17"/>
        <v>301000</v>
      </c>
    </row>
    <row r="155" spans="1:19" ht="57" customHeight="1">
      <c r="A155" s="91" t="s">
        <v>447</v>
      </c>
      <c r="B155" s="14"/>
      <c r="C155" s="40" t="s">
        <v>450</v>
      </c>
      <c r="D155" s="40" t="s">
        <v>452</v>
      </c>
      <c r="E155" s="40"/>
      <c r="F155" s="150"/>
      <c r="G155" s="18"/>
      <c r="H155" s="120">
        <f>H156</f>
        <v>301000</v>
      </c>
      <c r="N155" s="120">
        <f t="shared" si="17"/>
        <v>301000</v>
      </c>
      <c r="O155" s="120"/>
      <c r="P155" s="120">
        <f t="shared" si="17"/>
        <v>301000</v>
      </c>
      <c r="Q155" s="120">
        <f t="shared" si="17"/>
        <v>301000</v>
      </c>
      <c r="R155" s="102"/>
      <c r="S155" s="120">
        <f t="shared" si="17"/>
        <v>301000</v>
      </c>
    </row>
    <row r="156" spans="1:19" ht="33" customHeight="1">
      <c r="A156" s="85" t="s">
        <v>161</v>
      </c>
      <c r="B156" s="14"/>
      <c r="C156" s="40" t="s">
        <v>450</v>
      </c>
      <c r="D156" s="40" t="s">
        <v>452</v>
      </c>
      <c r="E156" s="40" t="s">
        <v>136</v>
      </c>
      <c r="F156" s="150"/>
      <c r="G156" s="18"/>
      <c r="H156" s="120">
        <v>301000</v>
      </c>
      <c r="N156" s="120">
        <v>301000</v>
      </c>
      <c r="O156" s="120"/>
      <c r="P156" s="116">
        <f>N156+O156</f>
        <v>301000</v>
      </c>
      <c r="Q156" s="120">
        <v>301000</v>
      </c>
      <c r="R156" s="102"/>
      <c r="S156" s="116">
        <f>Q156+R156</f>
        <v>301000</v>
      </c>
    </row>
    <row r="157" spans="1:19" ht="33" customHeight="1">
      <c r="A157" s="85" t="s">
        <v>448</v>
      </c>
      <c r="B157" s="14"/>
      <c r="C157" s="40" t="s">
        <v>450</v>
      </c>
      <c r="D157" s="40" t="s">
        <v>453</v>
      </c>
      <c r="E157" s="40"/>
      <c r="F157" s="150"/>
      <c r="G157" s="18"/>
      <c r="H157" s="120">
        <f>H158</f>
        <v>100000</v>
      </c>
      <c r="N157" s="120">
        <f>N158</f>
        <v>100000</v>
      </c>
      <c r="O157" s="120"/>
      <c r="P157" s="120">
        <f>P158</f>
        <v>100000</v>
      </c>
      <c r="Q157" s="120">
        <f>Q158</f>
        <v>100000</v>
      </c>
      <c r="R157" s="102"/>
      <c r="S157" s="120">
        <f>S158</f>
        <v>100000</v>
      </c>
    </row>
    <row r="158" spans="1:19" ht="33" customHeight="1">
      <c r="A158" s="85" t="s">
        <v>449</v>
      </c>
      <c r="B158" s="14"/>
      <c r="C158" s="40" t="s">
        <v>450</v>
      </c>
      <c r="D158" s="40" t="s">
        <v>454</v>
      </c>
      <c r="E158" s="40"/>
      <c r="F158" s="150"/>
      <c r="G158" s="18"/>
      <c r="H158" s="120">
        <f>H159</f>
        <v>100000</v>
      </c>
      <c r="N158" s="120">
        <f>N159</f>
        <v>100000</v>
      </c>
      <c r="O158" s="120"/>
      <c r="P158" s="120">
        <f>P159</f>
        <v>100000</v>
      </c>
      <c r="Q158" s="120">
        <f>Q159</f>
        <v>100000</v>
      </c>
      <c r="R158" s="102"/>
      <c r="S158" s="120">
        <f>S159</f>
        <v>100000</v>
      </c>
    </row>
    <row r="159" spans="1:19" ht="33" customHeight="1">
      <c r="A159" s="85" t="s">
        <v>161</v>
      </c>
      <c r="B159" s="14"/>
      <c r="C159" s="40" t="s">
        <v>450</v>
      </c>
      <c r="D159" s="40" t="s">
        <v>454</v>
      </c>
      <c r="E159" s="40" t="s">
        <v>136</v>
      </c>
      <c r="F159" s="150"/>
      <c r="G159" s="18"/>
      <c r="H159" s="120">
        <v>100000</v>
      </c>
      <c r="N159" s="120">
        <v>100000</v>
      </c>
      <c r="O159" s="120"/>
      <c r="P159" s="116">
        <f>N159+O159</f>
        <v>100000</v>
      </c>
      <c r="Q159" s="120">
        <v>100000</v>
      </c>
      <c r="R159" s="102"/>
      <c r="S159" s="116">
        <f>Q159+R159</f>
        <v>100000</v>
      </c>
    </row>
    <row r="160" spans="1:19" ht="17.25" customHeight="1">
      <c r="A160" s="98" t="s">
        <v>47</v>
      </c>
      <c r="B160" s="87" t="s">
        <v>48</v>
      </c>
      <c r="C160" s="90" t="s">
        <v>48</v>
      </c>
      <c r="D160" s="87"/>
      <c r="E160" s="87"/>
      <c r="F160" s="147" t="e">
        <f>SUM(F161+F166+F174+F193+F188+F179)</f>
        <v>#REF!</v>
      </c>
      <c r="G160" s="88"/>
      <c r="H160" s="120">
        <f>SUM(H161+H166+H174+H193+H188+H179)</f>
        <v>11576000</v>
      </c>
      <c r="N160" s="120">
        <f>SUM(N161+N166+N174+N193+N188+N179)</f>
        <v>13704600</v>
      </c>
      <c r="O160" s="120"/>
      <c r="P160" s="120">
        <f>SUM(P161+P166+P174+P193+P188+P179)</f>
        <v>13704600</v>
      </c>
      <c r="Q160" s="120">
        <f>SUM(Q161+Q166+Q174+Q193+Q188+Q179)</f>
        <v>14389830</v>
      </c>
      <c r="R160" s="102"/>
      <c r="S160" s="120">
        <f>SUM(S161+S166+S174+S193+S188+S179)</f>
        <v>14389830</v>
      </c>
    </row>
    <row r="161" spans="1:19" ht="19.5" customHeight="1">
      <c r="A161" s="86" t="s">
        <v>49</v>
      </c>
      <c r="B161" s="87"/>
      <c r="C161" s="87" t="s">
        <v>50</v>
      </c>
      <c r="D161" s="87"/>
      <c r="E161" s="87"/>
      <c r="F161" s="147">
        <f>F162</f>
        <v>0</v>
      </c>
      <c r="G161" s="88"/>
      <c r="H161" s="120">
        <f>H162</f>
        <v>85000</v>
      </c>
      <c r="N161" s="120">
        <f aca="true" t="shared" si="18" ref="N161:S164">N162</f>
        <v>85000</v>
      </c>
      <c r="O161" s="120"/>
      <c r="P161" s="120">
        <f t="shared" si="18"/>
        <v>85000</v>
      </c>
      <c r="Q161" s="120">
        <f t="shared" si="18"/>
        <v>85000</v>
      </c>
      <c r="R161" s="102"/>
      <c r="S161" s="120">
        <f t="shared" si="18"/>
        <v>85000</v>
      </c>
    </row>
    <row r="162" spans="1:19" ht="132" customHeight="1">
      <c r="A162" s="163" t="s">
        <v>455</v>
      </c>
      <c r="B162" s="14"/>
      <c r="C162" s="40" t="s">
        <v>50</v>
      </c>
      <c r="D162" s="40" t="s">
        <v>374</v>
      </c>
      <c r="E162" s="40"/>
      <c r="F162" s="151">
        <f>F165</f>
        <v>0</v>
      </c>
      <c r="G162" s="40"/>
      <c r="H162" s="121">
        <f>H163</f>
        <v>85000</v>
      </c>
      <c r="N162" s="121">
        <f t="shared" si="18"/>
        <v>85000</v>
      </c>
      <c r="O162" s="121"/>
      <c r="P162" s="121">
        <f t="shared" si="18"/>
        <v>85000</v>
      </c>
      <c r="Q162" s="121">
        <f t="shared" si="18"/>
        <v>85000</v>
      </c>
      <c r="R162" s="102"/>
      <c r="S162" s="121">
        <f t="shared" si="18"/>
        <v>85000</v>
      </c>
    </row>
    <row r="163" spans="1:19" ht="62.25" customHeight="1">
      <c r="A163" s="36" t="s">
        <v>527</v>
      </c>
      <c r="B163" s="14"/>
      <c r="C163" s="40" t="s">
        <v>50</v>
      </c>
      <c r="D163" s="40" t="s">
        <v>456</v>
      </c>
      <c r="E163" s="40"/>
      <c r="F163" s="151"/>
      <c r="G163" s="40"/>
      <c r="H163" s="121">
        <f>H164</f>
        <v>85000</v>
      </c>
      <c r="N163" s="121">
        <f t="shared" si="18"/>
        <v>85000</v>
      </c>
      <c r="O163" s="121"/>
      <c r="P163" s="121">
        <f t="shared" si="18"/>
        <v>85000</v>
      </c>
      <c r="Q163" s="121">
        <f t="shared" si="18"/>
        <v>85000</v>
      </c>
      <c r="R163" s="102"/>
      <c r="S163" s="121">
        <f t="shared" si="18"/>
        <v>85000</v>
      </c>
    </row>
    <row r="164" spans="1:19" ht="33.75" customHeight="1">
      <c r="A164" s="85" t="s">
        <v>528</v>
      </c>
      <c r="B164" s="14"/>
      <c r="C164" s="40" t="s">
        <v>50</v>
      </c>
      <c r="D164" s="40" t="s">
        <v>457</v>
      </c>
      <c r="E164" s="40"/>
      <c r="F164" s="151"/>
      <c r="G164" s="40"/>
      <c r="H164" s="121">
        <f>H165</f>
        <v>85000</v>
      </c>
      <c r="N164" s="121">
        <f t="shared" si="18"/>
        <v>85000</v>
      </c>
      <c r="O164" s="121"/>
      <c r="P164" s="121">
        <f t="shared" si="18"/>
        <v>85000</v>
      </c>
      <c r="Q164" s="121">
        <f t="shared" si="18"/>
        <v>85000</v>
      </c>
      <c r="R164" s="102"/>
      <c r="S164" s="121">
        <f t="shared" si="18"/>
        <v>85000</v>
      </c>
    </row>
    <row r="165" spans="1:19" ht="16.5" customHeight="1">
      <c r="A165" s="85" t="s">
        <v>140</v>
      </c>
      <c r="B165" s="14"/>
      <c r="C165" s="40" t="s">
        <v>50</v>
      </c>
      <c r="D165" s="40" t="s">
        <v>457</v>
      </c>
      <c r="E165" s="40" t="s">
        <v>141</v>
      </c>
      <c r="F165" s="151">
        <v>0</v>
      </c>
      <c r="G165" s="40" t="s">
        <v>458</v>
      </c>
      <c r="H165" s="121">
        <f>F165+G165</f>
        <v>85000</v>
      </c>
      <c r="N165" s="121">
        <v>85000</v>
      </c>
      <c r="O165" s="121"/>
      <c r="P165" s="116">
        <f>N165+O165</f>
        <v>85000</v>
      </c>
      <c r="Q165" s="121">
        <f>M165+N165</f>
        <v>85000</v>
      </c>
      <c r="R165" s="102"/>
      <c r="S165" s="116">
        <f>Q165+R165</f>
        <v>85000</v>
      </c>
    </row>
    <row r="166" spans="1:19" ht="20.25" customHeight="1">
      <c r="A166" s="86" t="s">
        <v>168</v>
      </c>
      <c r="B166" s="87"/>
      <c r="C166" s="87" t="s">
        <v>51</v>
      </c>
      <c r="D166" s="87"/>
      <c r="E166" s="87"/>
      <c r="F166" s="147" t="e">
        <f>#REF!+F172</f>
        <v>#REF!</v>
      </c>
      <c r="G166" s="88"/>
      <c r="H166" s="120">
        <f>H167</f>
        <v>1994000</v>
      </c>
      <c r="N166" s="120">
        <f>N167</f>
        <v>1994000</v>
      </c>
      <c r="O166" s="120"/>
      <c r="P166" s="120">
        <f>P167</f>
        <v>1994000</v>
      </c>
      <c r="Q166" s="120">
        <f>Q167</f>
        <v>1994000</v>
      </c>
      <c r="R166" s="102"/>
      <c r="S166" s="120">
        <f>S167</f>
        <v>1994000</v>
      </c>
    </row>
    <row r="167" spans="1:19" ht="76.5" customHeight="1">
      <c r="A167" s="163" t="s">
        <v>433</v>
      </c>
      <c r="B167" s="14"/>
      <c r="C167" s="40" t="s">
        <v>51</v>
      </c>
      <c r="D167" s="40" t="s">
        <v>112</v>
      </c>
      <c r="E167" s="40"/>
      <c r="F167" s="151"/>
      <c r="G167" s="40"/>
      <c r="H167" s="121">
        <f>H168+H171</f>
        <v>1994000</v>
      </c>
      <c r="N167" s="121">
        <f>N168+N171</f>
        <v>1994000</v>
      </c>
      <c r="O167" s="121"/>
      <c r="P167" s="121">
        <f>P168+P171</f>
        <v>1994000</v>
      </c>
      <c r="Q167" s="121">
        <f>Q168+Q171</f>
        <v>1994000</v>
      </c>
      <c r="R167" s="102"/>
      <c r="S167" s="121">
        <f>S168+S171</f>
        <v>1994000</v>
      </c>
    </row>
    <row r="168" spans="1:19" ht="38.25" customHeight="1">
      <c r="A168" s="85" t="s">
        <v>459</v>
      </c>
      <c r="B168" s="14"/>
      <c r="C168" s="40" t="s">
        <v>51</v>
      </c>
      <c r="D168" s="40" t="s">
        <v>233</v>
      </c>
      <c r="E168" s="40"/>
      <c r="F168" s="151"/>
      <c r="G168" s="40"/>
      <c r="H168" s="121">
        <f>H169</f>
        <v>204500</v>
      </c>
      <c r="N168" s="121">
        <f>N169</f>
        <v>204500</v>
      </c>
      <c r="O168" s="121"/>
      <c r="P168" s="121">
        <f>P169</f>
        <v>204500</v>
      </c>
      <c r="Q168" s="121">
        <f>Q169</f>
        <v>204500</v>
      </c>
      <c r="R168" s="102"/>
      <c r="S168" s="121">
        <f>S169</f>
        <v>204500</v>
      </c>
    </row>
    <row r="169" spans="1:19" ht="33" customHeight="1">
      <c r="A169" s="85" t="s">
        <v>234</v>
      </c>
      <c r="B169" s="14"/>
      <c r="C169" s="40" t="s">
        <v>51</v>
      </c>
      <c r="D169" s="40" t="s">
        <v>235</v>
      </c>
      <c r="E169" s="40"/>
      <c r="F169" s="151"/>
      <c r="G169" s="40"/>
      <c r="H169" s="121">
        <f>H170</f>
        <v>204500</v>
      </c>
      <c r="N169" s="121">
        <f>N170</f>
        <v>204500</v>
      </c>
      <c r="O169" s="121"/>
      <c r="P169" s="121">
        <f>P170</f>
        <v>204500</v>
      </c>
      <c r="Q169" s="121">
        <f>Q170</f>
        <v>204500</v>
      </c>
      <c r="R169" s="102"/>
      <c r="S169" s="121">
        <f>S170</f>
        <v>204500</v>
      </c>
    </row>
    <row r="170" spans="1:19" ht="33" customHeight="1">
      <c r="A170" s="85" t="s">
        <v>163</v>
      </c>
      <c r="B170" s="14"/>
      <c r="C170" s="40" t="s">
        <v>51</v>
      </c>
      <c r="D170" s="40" t="s">
        <v>235</v>
      </c>
      <c r="E170" s="40" t="s">
        <v>136</v>
      </c>
      <c r="F170" s="151"/>
      <c r="G170" s="40"/>
      <c r="H170" s="121">
        <v>204500</v>
      </c>
      <c r="N170" s="121">
        <v>204500</v>
      </c>
      <c r="O170" s="121"/>
      <c r="P170" s="116">
        <f>N170+O170</f>
        <v>204500</v>
      </c>
      <c r="Q170" s="121">
        <v>204500</v>
      </c>
      <c r="R170" s="102"/>
      <c r="S170" s="116">
        <f>Q170+R170</f>
        <v>204500</v>
      </c>
    </row>
    <row r="171" spans="1:19" ht="33" customHeight="1">
      <c r="A171" s="91" t="s">
        <v>460</v>
      </c>
      <c r="B171" s="14"/>
      <c r="C171" s="40" t="s">
        <v>51</v>
      </c>
      <c r="D171" s="40" t="s">
        <v>0</v>
      </c>
      <c r="E171" s="40"/>
      <c r="F171" s="151" t="e">
        <f>#REF!+F173</f>
        <v>#REF!</v>
      </c>
      <c r="G171" s="40"/>
      <c r="H171" s="121">
        <f>H172</f>
        <v>1789500</v>
      </c>
      <c r="N171" s="121">
        <f>N172</f>
        <v>1789500</v>
      </c>
      <c r="O171" s="121"/>
      <c r="P171" s="121">
        <f>P172</f>
        <v>1789500</v>
      </c>
      <c r="Q171" s="121">
        <f>Q172</f>
        <v>1789500</v>
      </c>
      <c r="R171" s="102"/>
      <c r="S171" s="121">
        <f>S172</f>
        <v>1789500</v>
      </c>
    </row>
    <row r="172" spans="1:19" ht="27" customHeight="1">
      <c r="A172" s="91" t="s">
        <v>461</v>
      </c>
      <c r="B172" s="14"/>
      <c r="C172" s="40" t="s">
        <v>51</v>
      </c>
      <c r="D172" s="40" t="s">
        <v>1</v>
      </c>
      <c r="E172" s="40"/>
      <c r="F172" s="151"/>
      <c r="G172" s="40"/>
      <c r="H172" s="121">
        <f>H173</f>
        <v>1789500</v>
      </c>
      <c r="N172" s="121">
        <f>N173</f>
        <v>1789500</v>
      </c>
      <c r="O172" s="121"/>
      <c r="P172" s="121">
        <f>P173</f>
        <v>1789500</v>
      </c>
      <c r="Q172" s="121">
        <f>Q173</f>
        <v>1789500</v>
      </c>
      <c r="R172" s="102"/>
      <c r="S172" s="121">
        <f>S173</f>
        <v>1789500</v>
      </c>
    </row>
    <row r="173" spans="1:19" ht="37.5" customHeight="1">
      <c r="A173" s="85" t="s">
        <v>163</v>
      </c>
      <c r="B173" s="14"/>
      <c r="C173" s="40" t="s">
        <v>51</v>
      </c>
      <c r="D173" s="40" t="s">
        <v>1</v>
      </c>
      <c r="E173" s="40" t="s">
        <v>136</v>
      </c>
      <c r="F173" s="151">
        <v>0</v>
      </c>
      <c r="G173" s="93">
        <v>1899000</v>
      </c>
      <c r="H173" s="121">
        <v>1789500</v>
      </c>
      <c r="N173" s="121">
        <v>1789500</v>
      </c>
      <c r="O173" s="121"/>
      <c r="P173" s="116">
        <f>N173+O173</f>
        <v>1789500</v>
      </c>
      <c r="Q173" s="121">
        <v>1789500</v>
      </c>
      <c r="R173" s="102"/>
      <c r="S173" s="116">
        <f>Q173+R173</f>
        <v>1789500</v>
      </c>
    </row>
    <row r="174" spans="1:19" ht="15.75">
      <c r="A174" s="86" t="s">
        <v>97</v>
      </c>
      <c r="B174" s="87"/>
      <c r="C174" s="87" t="s">
        <v>98</v>
      </c>
      <c r="D174" s="87"/>
      <c r="E174" s="87"/>
      <c r="F174" s="147">
        <f>F175</f>
        <v>0</v>
      </c>
      <c r="G174" s="88"/>
      <c r="H174" s="120">
        <f>H175</f>
        <v>420000</v>
      </c>
      <c r="N174" s="120">
        <f aca="true" t="shared" si="19" ref="N174:S177">N175</f>
        <v>420000</v>
      </c>
      <c r="O174" s="120"/>
      <c r="P174" s="120">
        <f t="shared" si="19"/>
        <v>420000</v>
      </c>
      <c r="Q174" s="120">
        <f t="shared" si="19"/>
        <v>420000</v>
      </c>
      <c r="R174" s="102"/>
      <c r="S174" s="120">
        <f t="shared" si="19"/>
        <v>420000</v>
      </c>
    </row>
    <row r="175" spans="1:19" ht="81" customHeight="1">
      <c r="A175" s="164" t="s">
        <v>219</v>
      </c>
      <c r="B175" s="14"/>
      <c r="C175" s="40" t="s">
        <v>98</v>
      </c>
      <c r="D175" s="40" t="s">
        <v>39</v>
      </c>
      <c r="E175" s="40"/>
      <c r="F175" s="151"/>
      <c r="G175" s="40"/>
      <c r="H175" s="121">
        <f>H176</f>
        <v>420000</v>
      </c>
      <c r="N175" s="121">
        <f t="shared" si="19"/>
        <v>420000</v>
      </c>
      <c r="O175" s="121"/>
      <c r="P175" s="121">
        <f t="shared" si="19"/>
        <v>420000</v>
      </c>
      <c r="Q175" s="121">
        <f t="shared" si="19"/>
        <v>420000</v>
      </c>
      <c r="R175" s="102"/>
      <c r="S175" s="121">
        <f t="shared" si="19"/>
        <v>420000</v>
      </c>
    </row>
    <row r="176" spans="1:19" ht="47.25" customHeight="1">
      <c r="A176" s="67" t="s">
        <v>2</v>
      </c>
      <c r="B176" s="14"/>
      <c r="C176" s="40" t="s">
        <v>98</v>
      </c>
      <c r="D176" s="40" t="s">
        <v>4</v>
      </c>
      <c r="E176" s="40"/>
      <c r="F176" s="151"/>
      <c r="G176" s="40"/>
      <c r="H176" s="121">
        <f>H177</f>
        <v>420000</v>
      </c>
      <c r="N176" s="121">
        <f t="shared" si="19"/>
        <v>420000</v>
      </c>
      <c r="O176" s="121"/>
      <c r="P176" s="121">
        <f t="shared" si="19"/>
        <v>420000</v>
      </c>
      <c r="Q176" s="121">
        <f t="shared" si="19"/>
        <v>420000</v>
      </c>
      <c r="R176" s="102"/>
      <c r="S176" s="121">
        <f t="shared" si="19"/>
        <v>420000</v>
      </c>
    </row>
    <row r="177" spans="1:19" ht="27.75" customHeight="1">
      <c r="A177" s="67" t="s">
        <v>3</v>
      </c>
      <c r="B177" s="14"/>
      <c r="C177" s="40" t="s">
        <v>98</v>
      </c>
      <c r="D177" s="40" t="s">
        <v>5</v>
      </c>
      <c r="E177" s="40"/>
      <c r="F177" s="151" t="e">
        <f>#REF!</f>
        <v>#REF!</v>
      </c>
      <c r="G177" s="40"/>
      <c r="H177" s="121">
        <f>H178</f>
        <v>420000</v>
      </c>
      <c r="N177" s="121">
        <f t="shared" si="19"/>
        <v>420000</v>
      </c>
      <c r="O177" s="121"/>
      <c r="P177" s="121">
        <f t="shared" si="19"/>
        <v>420000</v>
      </c>
      <c r="Q177" s="121">
        <f t="shared" si="19"/>
        <v>420000</v>
      </c>
      <c r="R177" s="102"/>
      <c r="S177" s="121">
        <f t="shared" si="19"/>
        <v>420000</v>
      </c>
    </row>
    <row r="178" spans="1:19" ht="51" customHeight="1">
      <c r="A178" s="85" t="s">
        <v>277</v>
      </c>
      <c r="B178" s="14"/>
      <c r="C178" s="40" t="s">
        <v>98</v>
      </c>
      <c r="D178" s="40" t="s">
        <v>5</v>
      </c>
      <c r="E178" s="40" t="s">
        <v>151</v>
      </c>
      <c r="F178" s="151">
        <v>0</v>
      </c>
      <c r="G178" s="40" t="s">
        <v>6</v>
      </c>
      <c r="H178" s="121">
        <v>420000</v>
      </c>
      <c r="N178" s="121">
        <v>420000</v>
      </c>
      <c r="O178" s="121"/>
      <c r="P178" s="116">
        <f>N178+O178</f>
        <v>420000</v>
      </c>
      <c r="Q178" s="121">
        <v>420000</v>
      </c>
      <c r="R178" s="102"/>
      <c r="S178" s="116">
        <f>Q178+R178</f>
        <v>420000</v>
      </c>
    </row>
    <row r="179" spans="1:19" ht="15.75">
      <c r="A179" s="86" t="s">
        <v>165</v>
      </c>
      <c r="B179" s="87"/>
      <c r="C179" s="87" t="s">
        <v>166</v>
      </c>
      <c r="D179" s="87"/>
      <c r="E179" s="87"/>
      <c r="F179" s="147" t="e">
        <f>F180+#REF!</f>
        <v>#REF!</v>
      </c>
      <c r="G179" s="88"/>
      <c r="H179" s="120">
        <f>H180</f>
        <v>8303000</v>
      </c>
      <c r="N179" s="120">
        <f>N180</f>
        <v>8303000</v>
      </c>
      <c r="O179" s="120"/>
      <c r="P179" s="120">
        <f>P180</f>
        <v>8303000</v>
      </c>
      <c r="Q179" s="120">
        <f>Q180</f>
        <v>8303000</v>
      </c>
      <c r="R179" s="102"/>
      <c r="S179" s="120">
        <f>S180</f>
        <v>8303000</v>
      </c>
    </row>
    <row r="180" spans="1:19" ht="81" customHeight="1">
      <c r="A180" s="164" t="s">
        <v>219</v>
      </c>
      <c r="B180" s="14"/>
      <c r="C180" s="40" t="s">
        <v>166</v>
      </c>
      <c r="D180" s="40" t="s">
        <v>39</v>
      </c>
      <c r="E180" s="40"/>
      <c r="F180" s="151"/>
      <c r="G180" s="40"/>
      <c r="H180" s="121">
        <f>H181</f>
        <v>8303000</v>
      </c>
      <c r="N180" s="121">
        <f>N181</f>
        <v>8303000</v>
      </c>
      <c r="O180" s="121"/>
      <c r="P180" s="121">
        <f>P181</f>
        <v>8303000</v>
      </c>
      <c r="Q180" s="121">
        <f>Q181</f>
        <v>8303000</v>
      </c>
      <c r="R180" s="102"/>
      <c r="S180" s="121">
        <f>S181</f>
        <v>8303000</v>
      </c>
    </row>
    <row r="181" spans="1:19" ht="63">
      <c r="A181" s="67" t="s">
        <v>14</v>
      </c>
      <c r="B181" s="14"/>
      <c r="C181" s="40" t="s">
        <v>166</v>
      </c>
      <c r="D181" s="40" t="s">
        <v>10</v>
      </c>
      <c r="E181" s="40"/>
      <c r="F181" s="151" t="e">
        <f>#REF!</f>
        <v>#REF!</v>
      </c>
      <c r="G181" s="40"/>
      <c r="H181" s="121">
        <f>H182+H184+H186</f>
        <v>8303000</v>
      </c>
      <c r="N181" s="121">
        <f>N182+N184+N186</f>
        <v>8303000</v>
      </c>
      <c r="O181" s="121"/>
      <c r="P181" s="121">
        <f>P182+P184+P186</f>
        <v>8303000</v>
      </c>
      <c r="Q181" s="121">
        <f>Q182+Q184+Q186</f>
        <v>8303000</v>
      </c>
      <c r="R181" s="102"/>
      <c r="S181" s="121">
        <f>S182+S184+S186</f>
        <v>8303000</v>
      </c>
    </row>
    <row r="182" spans="1:19" ht="49.5" customHeight="1">
      <c r="A182" s="67" t="s">
        <v>7</v>
      </c>
      <c r="B182" s="14"/>
      <c r="C182" s="40" t="s">
        <v>166</v>
      </c>
      <c r="D182" s="40" t="s">
        <v>11</v>
      </c>
      <c r="E182" s="40"/>
      <c r="F182" s="151"/>
      <c r="G182" s="40"/>
      <c r="H182" s="121">
        <f>H183</f>
        <v>3000000</v>
      </c>
      <c r="N182" s="121">
        <f>N183</f>
        <v>3000000</v>
      </c>
      <c r="O182" s="121"/>
      <c r="P182" s="121">
        <f>P183</f>
        <v>3000000</v>
      </c>
      <c r="Q182" s="121">
        <f>Q183</f>
        <v>3000000</v>
      </c>
      <c r="R182" s="102"/>
      <c r="S182" s="121">
        <f>S183</f>
        <v>3000000</v>
      </c>
    </row>
    <row r="183" spans="1:19" ht="36" customHeight="1">
      <c r="A183" s="94" t="s">
        <v>161</v>
      </c>
      <c r="B183" s="14"/>
      <c r="C183" s="95" t="s">
        <v>166</v>
      </c>
      <c r="D183" s="95" t="s">
        <v>11</v>
      </c>
      <c r="E183" s="95" t="s">
        <v>136</v>
      </c>
      <c r="F183" s="151"/>
      <c r="G183" s="40"/>
      <c r="H183" s="121">
        <v>3000000</v>
      </c>
      <c r="N183" s="121">
        <v>3000000</v>
      </c>
      <c r="O183" s="121"/>
      <c r="P183" s="116">
        <f>N183+O183</f>
        <v>3000000</v>
      </c>
      <c r="Q183" s="121">
        <v>3000000</v>
      </c>
      <c r="R183" s="102"/>
      <c r="S183" s="116">
        <f>Q183+R183</f>
        <v>3000000</v>
      </c>
    </row>
    <row r="184" spans="1:19" ht="51" customHeight="1">
      <c r="A184" s="67" t="s">
        <v>8</v>
      </c>
      <c r="B184" s="14"/>
      <c r="C184" s="40" t="s">
        <v>166</v>
      </c>
      <c r="D184" s="40" t="s">
        <v>12</v>
      </c>
      <c r="E184" s="40"/>
      <c r="F184" s="151"/>
      <c r="G184" s="40"/>
      <c r="H184" s="121">
        <f>H185</f>
        <v>4303000</v>
      </c>
      <c r="N184" s="121">
        <f>N185</f>
        <v>4303000</v>
      </c>
      <c r="O184" s="121"/>
      <c r="P184" s="121">
        <f>P185</f>
        <v>4303000</v>
      </c>
      <c r="Q184" s="121">
        <f>Q185</f>
        <v>4303000</v>
      </c>
      <c r="R184" s="102"/>
      <c r="S184" s="121">
        <f>S185</f>
        <v>4303000</v>
      </c>
    </row>
    <row r="185" spans="1:19" ht="42" customHeight="1">
      <c r="A185" s="94" t="s">
        <v>161</v>
      </c>
      <c r="B185" s="14"/>
      <c r="C185" s="95" t="s">
        <v>166</v>
      </c>
      <c r="D185" s="95" t="s">
        <v>12</v>
      </c>
      <c r="E185" s="95" t="s">
        <v>136</v>
      </c>
      <c r="F185" s="151"/>
      <c r="G185" s="40"/>
      <c r="H185" s="121">
        <v>4303000</v>
      </c>
      <c r="N185" s="121">
        <v>4303000</v>
      </c>
      <c r="O185" s="121"/>
      <c r="P185" s="116">
        <f>N185+O185</f>
        <v>4303000</v>
      </c>
      <c r="Q185" s="121">
        <v>4303000</v>
      </c>
      <c r="R185" s="102"/>
      <c r="S185" s="116">
        <f>Q185+R185</f>
        <v>4303000</v>
      </c>
    </row>
    <row r="186" spans="1:19" ht="47.25">
      <c r="A186" s="67" t="s">
        <v>9</v>
      </c>
      <c r="B186" s="14"/>
      <c r="C186" s="40" t="s">
        <v>166</v>
      </c>
      <c r="D186" s="40" t="s">
        <v>13</v>
      </c>
      <c r="E186" s="40"/>
      <c r="F186" s="151"/>
      <c r="G186" s="40"/>
      <c r="H186" s="121">
        <f>H187</f>
        <v>1000000</v>
      </c>
      <c r="N186" s="121">
        <f>N187</f>
        <v>1000000</v>
      </c>
      <c r="O186" s="121"/>
      <c r="P186" s="121">
        <f>P187</f>
        <v>1000000</v>
      </c>
      <c r="Q186" s="121">
        <f>Q187</f>
        <v>1000000</v>
      </c>
      <c r="R186" s="102"/>
      <c r="S186" s="121">
        <f>S187</f>
        <v>1000000</v>
      </c>
    </row>
    <row r="187" spans="1:19" ht="31.5">
      <c r="A187" s="94" t="s">
        <v>161</v>
      </c>
      <c r="B187" s="14"/>
      <c r="C187" s="95" t="s">
        <v>166</v>
      </c>
      <c r="D187" s="95" t="s">
        <v>13</v>
      </c>
      <c r="E187" s="95" t="s">
        <v>136</v>
      </c>
      <c r="F187" s="151"/>
      <c r="G187" s="40"/>
      <c r="H187" s="121">
        <v>1000000</v>
      </c>
      <c r="N187" s="121">
        <v>1000000</v>
      </c>
      <c r="O187" s="121"/>
      <c r="P187" s="116">
        <f>N187+O187</f>
        <v>1000000</v>
      </c>
      <c r="Q187" s="121">
        <v>1000000</v>
      </c>
      <c r="R187" s="102"/>
      <c r="S187" s="116">
        <f>Q187+R187</f>
        <v>1000000</v>
      </c>
    </row>
    <row r="188" spans="1:19" ht="24" customHeight="1">
      <c r="A188" s="86" t="s">
        <v>117</v>
      </c>
      <c r="B188" s="87"/>
      <c r="C188" s="87" t="s">
        <v>118</v>
      </c>
      <c r="D188" s="87"/>
      <c r="E188" s="87"/>
      <c r="F188" s="147">
        <f>F189+F192</f>
        <v>0</v>
      </c>
      <c r="G188" s="88"/>
      <c r="H188" s="120">
        <f>H189</f>
        <v>87000</v>
      </c>
      <c r="N188" s="120">
        <f>N189</f>
        <v>87000</v>
      </c>
      <c r="O188" s="120"/>
      <c r="P188" s="120">
        <f aca="true" t="shared" si="20" ref="P188:Q191">P189</f>
        <v>87000</v>
      </c>
      <c r="Q188" s="120">
        <f t="shared" si="20"/>
        <v>87000</v>
      </c>
      <c r="R188" s="102"/>
      <c r="S188" s="120">
        <f>S189</f>
        <v>87000</v>
      </c>
    </row>
    <row r="189" spans="1:19" ht="46.5" customHeight="1">
      <c r="A189" s="57" t="s">
        <v>379</v>
      </c>
      <c r="B189" s="14" t="s">
        <v>110</v>
      </c>
      <c r="C189" s="40" t="s">
        <v>118</v>
      </c>
      <c r="D189" s="40" t="s">
        <v>381</v>
      </c>
      <c r="E189" s="40"/>
      <c r="F189" s="152"/>
      <c r="G189" s="40"/>
      <c r="H189" s="120">
        <f>H190</f>
        <v>87000</v>
      </c>
      <c r="N189" s="120">
        <f>N190</f>
        <v>87000</v>
      </c>
      <c r="O189" s="120"/>
      <c r="P189" s="120">
        <f t="shared" si="20"/>
        <v>87000</v>
      </c>
      <c r="Q189" s="120">
        <f t="shared" si="20"/>
        <v>87000</v>
      </c>
      <c r="R189" s="102"/>
      <c r="S189" s="120">
        <f>S190</f>
        <v>87000</v>
      </c>
    </row>
    <row r="190" spans="1:19" ht="37.5" customHeight="1">
      <c r="A190" s="85" t="s">
        <v>15</v>
      </c>
      <c r="B190" s="14"/>
      <c r="C190" s="40" t="s">
        <v>118</v>
      </c>
      <c r="D190" s="40" t="s">
        <v>478</v>
      </c>
      <c r="E190" s="40"/>
      <c r="F190" s="152"/>
      <c r="G190" s="40"/>
      <c r="H190" s="120">
        <f>H191</f>
        <v>87000</v>
      </c>
      <c r="N190" s="120">
        <f>N191</f>
        <v>87000</v>
      </c>
      <c r="O190" s="120"/>
      <c r="P190" s="120">
        <f t="shared" si="20"/>
        <v>87000</v>
      </c>
      <c r="Q190" s="120">
        <f t="shared" si="20"/>
        <v>87000</v>
      </c>
      <c r="R190" s="102"/>
      <c r="S190" s="120">
        <f>S191</f>
        <v>87000</v>
      </c>
    </row>
    <row r="191" spans="1:19" ht="33.75" customHeight="1">
      <c r="A191" s="85" t="s">
        <v>479</v>
      </c>
      <c r="B191" s="14" t="s">
        <v>110</v>
      </c>
      <c r="C191" s="40" t="s">
        <v>118</v>
      </c>
      <c r="D191" s="40" t="s">
        <v>16</v>
      </c>
      <c r="E191" s="40"/>
      <c r="F191" s="151">
        <f>F192</f>
        <v>0</v>
      </c>
      <c r="G191" s="40"/>
      <c r="H191" s="121">
        <f>H192</f>
        <v>87000</v>
      </c>
      <c r="N191" s="121">
        <f>N192</f>
        <v>87000</v>
      </c>
      <c r="O191" s="121"/>
      <c r="P191" s="121">
        <f t="shared" si="20"/>
        <v>87000</v>
      </c>
      <c r="Q191" s="121">
        <f t="shared" si="20"/>
        <v>87000</v>
      </c>
      <c r="R191" s="102"/>
      <c r="S191" s="121">
        <f>S192</f>
        <v>87000</v>
      </c>
    </row>
    <row r="192" spans="1:19" ht="33" customHeight="1">
      <c r="A192" s="96" t="s">
        <v>131</v>
      </c>
      <c r="B192" s="14" t="s">
        <v>110</v>
      </c>
      <c r="C192" s="40" t="s">
        <v>118</v>
      </c>
      <c r="D192" s="40" t="s">
        <v>16</v>
      </c>
      <c r="E192" s="40" t="s">
        <v>135</v>
      </c>
      <c r="F192" s="151">
        <v>0</v>
      </c>
      <c r="G192" s="40" t="s">
        <v>17</v>
      </c>
      <c r="H192" s="121">
        <v>87000</v>
      </c>
      <c r="N192" s="121">
        <v>87000</v>
      </c>
      <c r="O192" s="121"/>
      <c r="P192" s="116">
        <f>N192+O192</f>
        <v>87000</v>
      </c>
      <c r="Q192" s="121">
        <v>87000</v>
      </c>
      <c r="R192" s="102"/>
      <c r="S192" s="116">
        <f>Q192+R192</f>
        <v>87000</v>
      </c>
    </row>
    <row r="193" spans="1:19" ht="32.25" customHeight="1">
      <c r="A193" s="86" t="s">
        <v>53</v>
      </c>
      <c r="B193" s="87"/>
      <c r="C193" s="87" t="s">
        <v>54</v>
      </c>
      <c r="D193" s="87"/>
      <c r="E193" s="87"/>
      <c r="F193" s="147" t="e">
        <f>F203+F198+#REF!</f>
        <v>#REF!</v>
      </c>
      <c r="G193" s="88"/>
      <c r="H193" s="120">
        <f>H194+H198+H201</f>
        <v>687000</v>
      </c>
      <c r="N193" s="120">
        <f>N194+N198+N201</f>
        <v>2815600</v>
      </c>
      <c r="O193" s="120"/>
      <c r="P193" s="120">
        <f>P194+P198+P201</f>
        <v>2815600</v>
      </c>
      <c r="Q193" s="120">
        <f>Q194+Q198+Q201</f>
        <v>3500830</v>
      </c>
      <c r="R193" s="102"/>
      <c r="S193" s="120">
        <f>S194+S198+S201</f>
        <v>3500830</v>
      </c>
    </row>
    <row r="194" spans="1:19" ht="80.25" customHeight="1">
      <c r="A194" s="98" t="s">
        <v>412</v>
      </c>
      <c r="B194" s="87"/>
      <c r="C194" s="87" t="s">
        <v>54</v>
      </c>
      <c r="D194" s="87" t="s">
        <v>413</v>
      </c>
      <c r="E194" s="87"/>
      <c r="F194" s="147"/>
      <c r="G194" s="88"/>
      <c r="H194" s="120">
        <f>H195</f>
        <v>250000</v>
      </c>
      <c r="N194" s="120">
        <f aca="true" t="shared" si="21" ref="N194:S196">N195</f>
        <v>250000</v>
      </c>
      <c r="O194" s="120"/>
      <c r="P194" s="120">
        <f t="shared" si="21"/>
        <v>250000</v>
      </c>
      <c r="Q194" s="120">
        <f t="shared" si="21"/>
        <v>250000</v>
      </c>
      <c r="R194" s="102"/>
      <c r="S194" s="120">
        <f t="shared" si="21"/>
        <v>250000</v>
      </c>
    </row>
    <row r="195" spans="1:19" ht="51.75" customHeight="1">
      <c r="A195" s="41" t="s">
        <v>23</v>
      </c>
      <c r="B195" s="14"/>
      <c r="C195" s="24" t="s">
        <v>54</v>
      </c>
      <c r="D195" s="24" t="s">
        <v>24</v>
      </c>
      <c r="E195" s="24"/>
      <c r="F195" s="39"/>
      <c r="G195" s="97"/>
      <c r="H195" s="115">
        <f>H196</f>
        <v>250000</v>
      </c>
      <c r="N195" s="115">
        <f t="shared" si="21"/>
        <v>250000</v>
      </c>
      <c r="O195" s="115"/>
      <c r="P195" s="115">
        <f t="shared" si="21"/>
        <v>250000</v>
      </c>
      <c r="Q195" s="115">
        <f t="shared" si="21"/>
        <v>250000</v>
      </c>
      <c r="R195" s="102"/>
      <c r="S195" s="115">
        <f t="shared" si="21"/>
        <v>250000</v>
      </c>
    </row>
    <row r="196" spans="1:19" ht="32.25" customHeight="1">
      <c r="A196" s="36" t="s">
        <v>466</v>
      </c>
      <c r="B196" s="14"/>
      <c r="C196" s="24" t="s">
        <v>54</v>
      </c>
      <c r="D196" s="24" t="s">
        <v>25</v>
      </c>
      <c r="E196" s="24"/>
      <c r="F196" s="39"/>
      <c r="G196" s="97"/>
      <c r="H196" s="115">
        <f>H197</f>
        <v>250000</v>
      </c>
      <c r="N196" s="115">
        <f t="shared" si="21"/>
        <v>250000</v>
      </c>
      <c r="O196" s="115"/>
      <c r="P196" s="115">
        <f t="shared" si="21"/>
        <v>250000</v>
      </c>
      <c r="Q196" s="115">
        <f t="shared" si="21"/>
        <v>250000</v>
      </c>
      <c r="R196" s="102"/>
      <c r="S196" s="115">
        <f t="shared" si="21"/>
        <v>250000</v>
      </c>
    </row>
    <row r="197" spans="1:19" ht="35.25" customHeight="1">
      <c r="A197" s="41" t="s">
        <v>161</v>
      </c>
      <c r="B197" s="14"/>
      <c r="C197" s="24" t="s">
        <v>54</v>
      </c>
      <c r="D197" s="24" t="s">
        <v>25</v>
      </c>
      <c r="E197" s="24" t="s">
        <v>136</v>
      </c>
      <c r="F197" s="39"/>
      <c r="G197" s="97"/>
      <c r="H197" s="115">
        <v>250000</v>
      </c>
      <c r="N197" s="115">
        <v>250000</v>
      </c>
      <c r="O197" s="115"/>
      <c r="P197" s="116">
        <f>N197+O197</f>
        <v>250000</v>
      </c>
      <c r="Q197" s="115">
        <v>250000</v>
      </c>
      <c r="R197" s="102"/>
      <c r="S197" s="116">
        <f>Q197+R197</f>
        <v>250000</v>
      </c>
    </row>
    <row r="198" spans="1:19" ht="66.75" customHeight="1">
      <c r="A198" s="165" t="s">
        <v>18</v>
      </c>
      <c r="B198" s="14"/>
      <c r="C198" s="40" t="s">
        <v>54</v>
      </c>
      <c r="D198" s="40" t="s">
        <v>20</v>
      </c>
      <c r="E198" s="40"/>
      <c r="F198" s="151"/>
      <c r="G198" s="40"/>
      <c r="H198" s="121">
        <f>H199</f>
        <v>387000</v>
      </c>
      <c r="N198" s="121">
        <f>N199</f>
        <v>2515600</v>
      </c>
      <c r="O198" s="121"/>
      <c r="P198" s="121">
        <f>P199</f>
        <v>2515600</v>
      </c>
      <c r="Q198" s="121">
        <f>Q199</f>
        <v>3200830</v>
      </c>
      <c r="R198" s="102"/>
      <c r="S198" s="121">
        <f>S199</f>
        <v>3200830</v>
      </c>
    </row>
    <row r="199" spans="1:19" ht="39" customHeight="1">
      <c r="A199" s="85" t="s">
        <v>19</v>
      </c>
      <c r="B199" s="14"/>
      <c r="C199" s="40" t="s">
        <v>54</v>
      </c>
      <c r="D199" s="40" t="s">
        <v>21</v>
      </c>
      <c r="E199" s="40"/>
      <c r="F199" s="151"/>
      <c r="G199" s="40"/>
      <c r="H199" s="121">
        <f>H200</f>
        <v>387000</v>
      </c>
      <c r="N199" s="121">
        <f>N200</f>
        <v>2515600</v>
      </c>
      <c r="O199" s="121"/>
      <c r="P199" s="121">
        <f>P200</f>
        <v>2515600</v>
      </c>
      <c r="Q199" s="121">
        <f>Q200</f>
        <v>3200830</v>
      </c>
      <c r="R199" s="102"/>
      <c r="S199" s="121">
        <f>S200</f>
        <v>3200830</v>
      </c>
    </row>
    <row r="200" spans="1:19" ht="42" customHeight="1">
      <c r="A200" s="85" t="s">
        <v>163</v>
      </c>
      <c r="B200" s="14"/>
      <c r="C200" s="40" t="s">
        <v>54</v>
      </c>
      <c r="D200" s="40" t="s">
        <v>21</v>
      </c>
      <c r="E200" s="40" t="s">
        <v>136</v>
      </c>
      <c r="F200" s="151"/>
      <c r="G200" s="40"/>
      <c r="H200" s="121">
        <v>387000</v>
      </c>
      <c r="N200" s="121">
        <v>2515600</v>
      </c>
      <c r="O200" s="121"/>
      <c r="P200" s="116">
        <f>N200+O200</f>
        <v>2515600</v>
      </c>
      <c r="Q200" s="121">
        <v>3200830</v>
      </c>
      <c r="R200" s="102"/>
      <c r="S200" s="116">
        <f>Q200+R200</f>
        <v>3200830</v>
      </c>
    </row>
    <row r="201" spans="1:19" ht="137.25" customHeight="1">
      <c r="A201" s="163" t="s">
        <v>455</v>
      </c>
      <c r="B201" s="14"/>
      <c r="C201" s="40" t="s">
        <v>54</v>
      </c>
      <c r="D201" s="40" t="s">
        <v>374</v>
      </c>
      <c r="E201" s="40"/>
      <c r="F201" s="151"/>
      <c r="G201" s="40"/>
      <c r="H201" s="121">
        <f>H202</f>
        <v>50000</v>
      </c>
      <c r="N201" s="121">
        <f aca="true" t="shared" si="22" ref="N201:S203">N202</f>
        <v>50000</v>
      </c>
      <c r="O201" s="121"/>
      <c r="P201" s="121">
        <f t="shared" si="22"/>
        <v>50000</v>
      </c>
      <c r="Q201" s="121">
        <f t="shared" si="22"/>
        <v>50000</v>
      </c>
      <c r="R201" s="102"/>
      <c r="S201" s="121">
        <f t="shared" si="22"/>
        <v>50000</v>
      </c>
    </row>
    <row r="202" spans="1:19" ht="80.25" customHeight="1">
      <c r="A202" s="36" t="s">
        <v>527</v>
      </c>
      <c r="B202" s="14"/>
      <c r="C202" s="40" t="s">
        <v>54</v>
      </c>
      <c r="D202" s="40" t="s">
        <v>456</v>
      </c>
      <c r="E202" s="40"/>
      <c r="F202" s="151"/>
      <c r="G202" s="40"/>
      <c r="H202" s="121">
        <f>H203</f>
        <v>50000</v>
      </c>
      <c r="N202" s="121">
        <f t="shared" si="22"/>
        <v>50000</v>
      </c>
      <c r="O202" s="121"/>
      <c r="P202" s="121">
        <f t="shared" si="22"/>
        <v>50000</v>
      </c>
      <c r="Q202" s="121">
        <f t="shared" si="22"/>
        <v>50000</v>
      </c>
      <c r="R202" s="102"/>
      <c r="S202" s="121">
        <f t="shared" si="22"/>
        <v>50000</v>
      </c>
    </row>
    <row r="203" spans="1:19" ht="39" customHeight="1">
      <c r="A203" s="85" t="s">
        <v>167</v>
      </c>
      <c r="B203" s="14"/>
      <c r="C203" s="40" t="s">
        <v>54</v>
      </c>
      <c r="D203" s="40" t="s">
        <v>22</v>
      </c>
      <c r="E203" s="40"/>
      <c r="F203" s="151"/>
      <c r="G203" s="40"/>
      <c r="H203" s="121">
        <f>H204</f>
        <v>50000</v>
      </c>
      <c r="N203" s="121">
        <f t="shared" si="22"/>
        <v>50000</v>
      </c>
      <c r="O203" s="121"/>
      <c r="P203" s="121">
        <f t="shared" si="22"/>
        <v>50000</v>
      </c>
      <c r="Q203" s="121">
        <f t="shared" si="22"/>
        <v>50000</v>
      </c>
      <c r="R203" s="102"/>
      <c r="S203" s="121">
        <f t="shared" si="22"/>
        <v>50000</v>
      </c>
    </row>
    <row r="204" spans="1:19" ht="33" customHeight="1">
      <c r="A204" s="64" t="s">
        <v>531</v>
      </c>
      <c r="B204" s="14"/>
      <c r="C204" s="40" t="s">
        <v>54</v>
      </c>
      <c r="D204" s="40" t="s">
        <v>22</v>
      </c>
      <c r="E204" s="40" t="s">
        <v>532</v>
      </c>
      <c r="F204" s="151"/>
      <c r="G204" s="40"/>
      <c r="H204" s="121">
        <v>50000</v>
      </c>
      <c r="N204" s="121">
        <v>50000</v>
      </c>
      <c r="O204" s="121"/>
      <c r="P204" s="116">
        <f>N204+O204</f>
        <v>50000</v>
      </c>
      <c r="Q204" s="121">
        <v>50000</v>
      </c>
      <c r="R204" s="102"/>
      <c r="S204" s="116">
        <f>Q204+R204</f>
        <v>50000</v>
      </c>
    </row>
    <row r="205" spans="1:19" ht="19.5" customHeight="1">
      <c r="A205" s="41" t="s">
        <v>55</v>
      </c>
      <c r="B205" s="24">
        <v>901</v>
      </c>
      <c r="C205" s="24" t="s">
        <v>56</v>
      </c>
      <c r="D205" s="24"/>
      <c r="E205" s="24"/>
      <c r="F205" s="148" t="e">
        <f>F206+F213+F244+F254</f>
        <v>#REF!</v>
      </c>
      <c r="G205" s="18"/>
      <c r="H205" s="116">
        <f>H206+H213+H244++H254</f>
        <v>35702500</v>
      </c>
      <c r="N205" s="116">
        <f>N206+N213+N244++N254</f>
        <v>32402500</v>
      </c>
      <c r="O205" s="116"/>
      <c r="P205" s="116">
        <f>P206+P213+P244++P254</f>
        <v>31934700</v>
      </c>
      <c r="Q205" s="116">
        <f>Q206+Q213+Q244++Q254</f>
        <v>32402500</v>
      </c>
      <c r="R205" s="102"/>
      <c r="S205" s="116">
        <f>S206+S213+S244++S254</f>
        <v>32402500</v>
      </c>
    </row>
    <row r="206" spans="1:19" ht="18.75" customHeight="1">
      <c r="A206" s="52" t="s">
        <v>57</v>
      </c>
      <c r="B206" s="24">
        <v>901</v>
      </c>
      <c r="C206" s="24" t="s">
        <v>58</v>
      </c>
      <c r="D206" s="24"/>
      <c r="E206" s="24"/>
      <c r="F206" s="148" t="e">
        <f>F208</f>
        <v>#REF!</v>
      </c>
      <c r="G206" s="18"/>
      <c r="H206" s="116">
        <f>H207</f>
        <v>3013300</v>
      </c>
      <c r="N206" s="116">
        <f>N207</f>
        <v>3013300</v>
      </c>
      <c r="O206" s="116"/>
      <c r="P206" s="116">
        <f>P207</f>
        <v>3013300</v>
      </c>
      <c r="Q206" s="116">
        <f>Q207</f>
        <v>3013300</v>
      </c>
      <c r="R206" s="102"/>
      <c r="S206" s="116">
        <f>S207</f>
        <v>3013300</v>
      </c>
    </row>
    <row r="207" spans="1:19" ht="81" customHeight="1">
      <c r="A207" s="161" t="s">
        <v>219</v>
      </c>
      <c r="B207" s="31" t="s">
        <v>110</v>
      </c>
      <c r="C207" s="31" t="s">
        <v>58</v>
      </c>
      <c r="D207" s="31" t="s">
        <v>39</v>
      </c>
      <c r="E207" s="31"/>
      <c r="F207" s="148"/>
      <c r="G207" s="19"/>
      <c r="H207" s="116">
        <f>H208</f>
        <v>3013300</v>
      </c>
      <c r="N207" s="116">
        <f>N208</f>
        <v>3013300</v>
      </c>
      <c r="O207" s="116"/>
      <c r="P207" s="116">
        <f>P208</f>
        <v>3013300</v>
      </c>
      <c r="Q207" s="116">
        <f>Q208</f>
        <v>3013300</v>
      </c>
      <c r="R207" s="102"/>
      <c r="S207" s="116">
        <f>S208</f>
        <v>3013300</v>
      </c>
    </row>
    <row r="208" spans="1:19" ht="36" customHeight="1">
      <c r="A208" s="52" t="s">
        <v>225</v>
      </c>
      <c r="B208" s="24" t="s">
        <v>110</v>
      </c>
      <c r="C208" s="24" t="s">
        <v>58</v>
      </c>
      <c r="D208" s="42" t="s">
        <v>40</v>
      </c>
      <c r="E208" s="24"/>
      <c r="F208" s="80" t="e">
        <f>#REF!+F211</f>
        <v>#REF!</v>
      </c>
      <c r="G208" s="24"/>
      <c r="H208" s="116">
        <f>H209+H211</f>
        <v>3013300</v>
      </c>
      <c r="N208" s="116">
        <f>N209+N211</f>
        <v>3013300</v>
      </c>
      <c r="O208" s="116"/>
      <c r="P208" s="116">
        <f>P209+P211</f>
        <v>3013300</v>
      </c>
      <c r="Q208" s="116">
        <f>Q209+Q211</f>
        <v>3013300</v>
      </c>
      <c r="R208" s="102"/>
      <c r="S208" s="116">
        <f>S209+S211</f>
        <v>3013300</v>
      </c>
    </row>
    <row r="209" spans="1:19" ht="47.25">
      <c r="A209" s="54" t="s">
        <v>226</v>
      </c>
      <c r="B209" s="24" t="s">
        <v>110</v>
      </c>
      <c r="C209" s="24" t="s">
        <v>58</v>
      </c>
      <c r="D209" s="24" t="s">
        <v>227</v>
      </c>
      <c r="E209" s="24"/>
      <c r="F209" s="80"/>
      <c r="G209" s="24"/>
      <c r="H209" s="116">
        <f>H210</f>
        <v>2100300</v>
      </c>
      <c r="N209" s="116">
        <f>N210</f>
        <v>2100300</v>
      </c>
      <c r="O209" s="116"/>
      <c r="P209" s="116">
        <f>P210</f>
        <v>2100300</v>
      </c>
      <c r="Q209" s="116">
        <f>Q210</f>
        <v>2100300</v>
      </c>
      <c r="R209" s="102"/>
      <c r="S209" s="116">
        <f>S210</f>
        <v>2100300</v>
      </c>
    </row>
    <row r="210" spans="1:19" ht="36" customHeight="1">
      <c r="A210" s="50" t="s">
        <v>161</v>
      </c>
      <c r="B210" s="24" t="s">
        <v>110</v>
      </c>
      <c r="C210" s="24" t="s">
        <v>58</v>
      </c>
      <c r="D210" s="42" t="s">
        <v>227</v>
      </c>
      <c r="E210" s="24" t="s">
        <v>136</v>
      </c>
      <c r="F210" s="80">
        <v>0</v>
      </c>
      <c r="G210" s="24" t="s">
        <v>228</v>
      </c>
      <c r="H210" s="116">
        <v>2100300</v>
      </c>
      <c r="N210" s="116">
        <v>2100300</v>
      </c>
      <c r="O210" s="116"/>
      <c r="P210" s="116">
        <f>N210+O210</f>
        <v>2100300</v>
      </c>
      <c r="Q210" s="116">
        <v>2100300</v>
      </c>
      <c r="R210" s="102"/>
      <c r="S210" s="116">
        <f>Q210+R210</f>
        <v>2100300</v>
      </c>
    </row>
    <row r="211" spans="1:19" ht="34.5" customHeight="1">
      <c r="A211" s="54" t="s">
        <v>229</v>
      </c>
      <c r="B211" s="24" t="s">
        <v>110</v>
      </c>
      <c r="C211" s="24" t="s">
        <v>58</v>
      </c>
      <c r="D211" s="159" t="s">
        <v>230</v>
      </c>
      <c r="E211" s="24"/>
      <c r="F211" s="80" t="e">
        <f>#REF!+F212</f>
        <v>#REF!</v>
      </c>
      <c r="G211" s="24"/>
      <c r="H211" s="116">
        <f>H212</f>
        <v>913000</v>
      </c>
      <c r="N211" s="116">
        <f>N212</f>
        <v>913000</v>
      </c>
      <c r="O211" s="116"/>
      <c r="P211" s="116">
        <f>P212</f>
        <v>913000</v>
      </c>
      <c r="Q211" s="116">
        <f>Q212</f>
        <v>913000</v>
      </c>
      <c r="R211" s="102"/>
      <c r="S211" s="116">
        <f>S212</f>
        <v>913000</v>
      </c>
    </row>
    <row r="212" spans="1:19" ht="21" customHeight="1">
      <c r="A212" s="41" t="s">
        <v>160</v>
      </c>
      <c r="B212" s="24">
        <v>901</v>
      </c>
      <c r="C212" s="24" t="s">
        <v>58</v>
      </c>
      <c r="D212" s="24" t="s">
        <v>230</v>
      </c>
      <c r="E212" s="208">
        <v>243</v>
      </c>
      <c r="F212" s="80" t="e">
        <f>#REF!</f>
        <v>#REF!</v>
      </c>
      <c r="G212" s="24"/>
      <c r="H212" s="116">
        <v>913000</v>
      </c>
      <c r="N212" s="116">
        <v>913000</v>
      </c>
      <c r="O212" s="116"/>
      <c r="P212" s="116">
        <f>N212+O212</f>
        <v>913000</v>
      </c>
      <c r="Q212" s="116">
        <v>913000</v>
      </c>
      <c r="R212" s="102"/>
      <c r="S212" s="116">
        <f>Q212+R212</f>
        <v>913000</v>
      </c>
    </row>
    <row r="213" spans="1:19" ht="18.75" customHeight="1">
      <c r="A213" s="41" t="s">
        <v>59</v>
      </c>
      <c r="B213" s="24" t="s">
        <v>110</v>
      </c>
      <c r="C213" s="24" t="s">
        <v>60</v>
      </c>
      <c r="D213" s="24"/>
      <c r="E213" s="24"/>
      <c r="F213" s="148" t="e">
        <f>#REF!+#REF!+#REF!+F219+#REF!+#REF!</f>
        <v>#REF!</v>
      </c>
      <c r="G213" s="18"/>
      <c r="H213" s="116">
        <f>H219+H229+H236+H214</f>
        <v>21952200</v>
      </c>
      <c r="N213" s="116">
        <f>N219+N229+N236+N214</f>
        <v>18952200</v>
      </c>
      <c r="O213" s="116"/>
      <c r="P213" s="116">
        <f>P219+P229+P236+P214</f>
        <v>18484400</v>
      </c>
      <c r="Q213" s="116">
        <f>Q219+Q229+Q236+Q214</f>
        <v>18952200</v>
      </c>
      <c r="R213" s="102"/>
      <c r="S213" s="116">
        <f>S219+S229+S236+S214</f>
        <v>18952200</v>
      </c>
    </row>
    <row r="214" spans="1:19" ht="30.75" customHeight="1">
      <c r="A214" s="41" t="s">
        <v>231</v>
      </c>
      <c r="B214" s="24" t="s">
        <v>110</v>
      </c>
      <c r="C214" s="24" t="s">
        <v>60</v>
      </c>
      <c r="D214" s="24" t="s">
        <v>112</v>
      </c>
      <c r="E214" s="24"/>
      <c r="F214" s="80"/>
      <c r="G214" s="24"/>
      <c r="H214" s="116">
        <f>H215</f>
        <v>300000</v>
      </c>
      <c r="N214" s="116">
        <f aca="true" t="shared" si="23" ref="N214:S216">N215</f>
        <v>300000</v>
      </c>
      <c r="O214" s="116"/>
      <c r="P214" s="116">
        <f t="shared" si="23"/>
        <v>300000</v>
      </c>
      <c r="Q214" s="116">
        <f t="shared" si="23"/>
        <v>300000</v>
      </c>
      <c r="R214" s="102"/>
      <c r="S214" s="116">
        <f t="shared" si="23"/>
        <v>300000</v>
      </c>
    </row>
    <row r="215" spans="1:19" ht="36" customHeight="1">
      <c r="A215" s="41" t="s">
        <v>232</v>
      </c>
      <c r="B215" s="24" t="s">
        <v>110</v>
      </c>
      <c r="C215" s="24" t="s">
        <v>60</v>
      </c>
      <c r="D215" s="24" t="s">
        <v>233</v>
      </c>
      <c r="E215" s="24"/>
      <c r="F215" s="80"/>
      <c r="G215" s="24"/>
      <c r="H215" s="116">
        <f>H216</f>
        <v>300000</v>
      </c>
      <c r="N215" s="116">
        <f t="shared" si="23"/>
        <v>300000</v>
      </c>
      <c r="O215" s="116"/>
      <c r="P215" s="116">
        <f t="shared" si="23"/>
        <v>300000</v>
      </c>
      <c r="Q215" s="116">
        <f t="shared" si="23"/>
        <v>300000</v>
      </c>
      <c r="R215" s="102"/>
      <c r="S215" s="116">
        <f t="shared" si="23"/>
        <v>300000</v>
      </c>
    </row>
    <row r="216" spans="1:19" ht="31.5" customHeight="1">
      <c r="A216" s="41" t="s">
        <v>234</v>
      </c>
      <c r="B216" s="24" t="s">
        <v>110</v>
      </c>
      <c r="C216" s="24" t="s">
        <v>60</v>
      </c>
      <c r="D216" s="24" t="s">
        <v>235</v>
      </c>
      <c r="E216" s="24"/>
      <c r="F216" s="80"/>
      <c r="G216" s="24"/>
      <c r="H216" s="116">
        <f>H217</f>
        <v>300000</v>
      </c>
      <c r="N216" s="116">
        <f t="shared" si="23"/>
        <v>300000</v>
      </c>
      <c r="O216" s="116"/>
      <c r="P216" s="116">
        <f t="shared" si="23"/>
        <v>300000</v>
      </c>
      <c r="Q216" s="116">
        <f t="shared" si="23"/>
        <v>300000</v>
      </c>
      <c r="R216" s="102"/>
      <c r="S216" s="116">
        <f t="shared" si="23"/>
        <v>300000</v>
      </c>
    </row>
    <row r="217" spans="1:19" ht="31.5" customHeight="1">
      <c r="A217" s="50" t="s">
        <v>161</v>
      </c>
      <c r="B217" s="24" t="s">
        <v>110</v>
      </c>
      <c r="C217" s="24" t="s">
        <v>60</v>
      </c>
      <c r="D217" s="24" t="s">
        <v>235</v>
      </c>
      <c r="E217" s="24" t="s">
        <v>136</v>
      </c>
      <c r="F217" s="80"/>
      <c r="G217" s="24"/>
      <c r="H217" s="116">
        <v>300000</v>
      </c>
      <c r="N217" s="116">
        <v>300000</v>
      </c>
      <c r="O217" s="116"/>
      <c r="P217" s="116">
        <f>N217+O217</f>
        <v>300000</v>
      </c>
      <c r="Q217" s="116">
        <v>300000</v>
      </c>
      <c r="R217" s="102"/>
      <c r="S217" s="116">
        <f>Q217+R217</f>
        <v>300000</v>
      </c>
    </row>
    <row r="218" spans="1:19" ht="95.25" customHeight="1">
      <c r="A218" s="161" t="s">
        <v>219</v>
      </c>
      <c r="B218" s="24" t="s">
        <v>110</v>
      </c>
      <c r="C218" s="24" t="s">
        <v>60</v>
      </c>
      <c r="D218" s="24" t="s">
        <v>39</v>
      </c>
      <c r="E218" s="24"/>
      <c r="F218" s="80"/>
      <c r="G218" s="24"/>
      <c r="H218" s="116">
        <f>H219+H229</f>
        <v>14721000</v>
      </c>
      <c r="N218" s="116">
        <f>N219+N229</f>
        <v>14721000</v>
      </c>
      <c r="O218" s="116"/>
      <c r="P218" s="116">
        <f>P219+P229</f>
        <v>14721000</v>
      </c>
      <c r="Q218" s="116">
        <f>Q219+Q229</f>
        <v>14721000</v>
      </c>
      <c r="R218" s="102"/>
      <c r="S218" s="116">
        <f>S219+S229</f>
        <v>14721000</v>
      </c>
    </row>
    <row r="219" spans="1:19" ht="46.5" customHeight="1">
      <c r="A219" s="52" t="s">
        <v>236</v>
      </c>
      <c r="B219" s="31" t="s">
        <v>110</v>
      </c>
      <c r="C219" s="31" t="s">
        <v>60</v>
      </c>
      <c r="D219" s="31" t="s">
        <v>237</v>
      </c>
      <c r="E219" s="31"/>
      <c r="F219" s="153" t="e">
        <f>#REF!+F220+F223</f>
        <v>#REF!</v>
      </c>
      <c r="G219" s="31"/>
      <c r="H219" s="115">
        <f>H220+H223+H225+H227</f>
        <v>9704000</v>
      </c>
      <c r="N219" s="115">
        <f>N220+N223+N225+N227</f>
        <v>9704000</v>
      </c>
      <c r="O219" s="115"/>
      <c r="P219" s="115">
        <f>P220+P223+P225+P227</f>
        <v>9704000</v>
      </c>
      <c r="Q219" s="115">
        <f>Q220+Q223+Q225+Q227</f>
        <v>9704000</v>
      </c>
      <c r="R219" s="102"/>
      <c r="S219" s="115">
        <f>S220+S223+S225+S227</f>
        <v>9704000</v>
      </c>
    </row>
    <row r="220" spans="1:19" ht="37.5" customHeight="1">
      <c r="A220" s="52" t="s">
        <v>238</v>
      </c>
      <c r="B220" s="31" t="s">
        <v>110</v>
      </c>
      <c r="C220" s="31" t="s">
        <v>60</v>
      </c>
      <c r="D220" s="31" t="s">
        <v>239</v>
      </c>
      <c r="E220" s="31"/>
      <c r="F220" s="153">
        <f>F221</f>
        <v>0</v>
      </c>
      <c r="G220" s="31"/>
      <c r="H220" s="115">
        <f>H221</f>
        <v>3300000</v>
      </c>
      <c r="N220" s="115">
        <f>N221</f>
        <v>3300000</v>
      </c>
      <c r="O220" s="115"/>
      <c r="P220" s="115">
        <f>P221+P222</f>
        <v>3300000</v>
      </c>
      <c r="Q220" s="115">
        <f>Q221</f>
        <v>3300000</v>
      </c>
      <c r="R220" s="102"/>
      <c r="S220" s="115">
        <f>S221+S222</f>
        <v>3300000</v>
      </c>
    </row>
    <row r="221" spans="1:19" ht="36.75" customHeight="1">
      <c r="A221" s="50" t="s">
        <v>161</v>
      </c>
      <c r="B221" s="31" t="s">
        <v>110</v>
      </c>
      <c r="C221" s="31" t="s">
        <v>60</v>
      </c>
      <c r="D221" s="31" t="s">
        <v>239</v>
      </c>
      <c r="E221" s="31" t="s">
        <v>136</v>
      </c>
      <c r="F221" s="153">
        <v>0</v>
      </c>
      <c r="G221" s="31" t="s">
        <v>240</v>
      </c>
      <c r="H221" s="115">
        <v>3300000</v>
      </c>
      <c r="N221" s="115">
        <v>3300000</v>
      </c>
      <c r="O221" s="115">
        <f>-3300000</f>
        <v>-3300000</v>
      </c>
      <c r="P221" s="116">
        <f aca="true" t="shared" si="24" ref="P221:P228">N221+O221</f>
        <v>0</v>
      </c>
      <c r="Q221" s="115">
        <v>3300000</v>
      </c>
      <c r="R221" s="210">
        <f>-3300000</f>
        <v>-3300000</v>
      </c>
      <c r="S221" s="116">
        <f aca="true" t="shared" si="25" ref="S221:S228">Q221+R221</f>
        <v>0</v>
      </c>
    </row>
    <row r="222" spans="1:19" ht="58.5" customHeight="1">
      <c r="A222" s="50" t="s">
        <v>277</v>
      </c>
      <c r="B222" s="31"/>
      <c r="C222" s="31" t="s">
        <v>60</v>
      </c>
      <c r="D222" s="31" t="s">
        <v>239</v>
      </c>
      <c r="E222" s="31" t="s">
        <v>151</v>
      </c>
      <c r="F222" s="153"/>
      <c r="G222" s="31"/>
      <c r="H222" s="115"/>
      <c r="N222" s="115"/>
      <c r="O222" s="115">
        <f>3300000</f>
        <v>3300000</v>
      </c>
      <c r="P222" s="116">
        <f>O222+N222</f>
        <v>3300000</v>
      </c>
      <c r="Q222" s="115"/>
      <c r="R222" s="210">
        <f>3300000</f>
        <v>3300000</v>
      </c>
      <c r="S222" s="116">
        <f>R222+Q222</f>
        <v>3300000</v>
      </c>
    </row>
    <row r="223" spans="1:19" ht="55.5" customHeight="1">
      <c r="A223" s="54" t="s">
        <v>241</v>
      </c>
      <c r="B223" s="24" t="s">
        <v>110</v>
      </c>
      <c r="C223" s="24" t="s">
        <v>60</v>
      </c>
      <c r="D223" s="24" t="s">
        <v>242</v>
      </c>
      <c r="E223" s="24"/>
      <c r="F223" s="80">
        <f>F224</f>
        <v>0</v>
      </c>
      <c r="G223" s="43"/>
      <c r="H223" s="116">
        <f>H224</f>
        <v>3500000</v>
      </c>
      <c r="N223" s="116">
        <f>N224</f>
        <v>3500000</v>
      </c>
      <c r="O223" s="116"/>
      <c r="P223" s="116">
        <f>P224</f>
        <v>3500000</v>
      </c>
      <c r="Q223" s="116">
        <f>Q224</f>
        <v>3500000</v>
      </c>
      <c r="R223" s="102"/>
      <c r="S223" s="116">
        <f>S224</f>
        <v>3500000</v>
      </c>
    </row>
    <row r="224" spans="1:19" ht="37.5" customHeight="1">
      <c r="A224" s="50" t="s">
        <v>161</v>
      </c>
      <c r="B224" s="24" t="s">
        <v>110</v>
      </c>
      <c r="C224" s="24" t="s">
        <v>60</v>
      </c>
      <c r="D224" s="24" t="s">
        <v>242</v>
      </c>
      <c r="E224" s="24" t="s">
        <v>136</v>
      </c>
      <c r="F224" s="80">
        <v>0</v>
      </c>
      <c r="G224" s="44">
        <v>2332000</v>
      </c>
      <c r="H224" s="116">
        <v>3500000</v>
      </c>
      <c r="N224" s="116">
        <v>3500000</v>
      </c>
      <c r="O224" s="116"/>
      <c r="P224" s="116">
        <f t="shared" si="24"/>
        <v>3500000</v>
      </c>
      <c r="Q224" s="116">
        <v>3500000</v>
      </c>
      <c r="R224" s="102"/>
      <c r="S224" s="116">
        <f t="shared" si="25"/>
        <v>3500000</v>
      </c>
    </row>
    <row r="225" spans="1:19" ht="30" customHeight="1">
      <c r="A225" s="54" t="s">
        <v>243</v>
      </c>
      <c r="B225" s="24" t="s">
        <v>110</v>
      </c>
      <c r="C225" s="24" t="s">
        <v>60</v>
      </c>
      <c r="D225" s="24" t="s">
        <v>244</v>
      </c>
      <c r="E225" s="24"/>
      <c r="F225" s="80"/>
      <c r="G225" s="44"/>
      <c r="H225" s="116">
        <f>H226</f>
        <v>400000</v>
      </c>
      <c r="N225" s="116">
        <f>N226</f>
        <v>400000</v>
      </c>
      <c r="O225" s="116"/>
      <c r="P225" s="116">
        <f>P226</f>
        <v>400000</v>
      </c>
      <c r="Q225" s="116">
        <f>Q226</f>
        <v>400000</v>
      </c>
      <c r="R225" s="102"/>
      <c r="S225" s="116">
        <f>S226</f>
        <v>400000</v>
      </c>
    </row>
    <row r="226" spans="1:19" ht="39.75" customHeight="1">
      <c r="A226" s="50" t="s">
        <v>161</v>
      </c>
      <c r="B226" s="24" t="s">
        <v>110</v>
      </c>
      <c r="C226" s="24" t="s">
        <v>60</v>
      </c>
      <c r="D226" s="24" t="s">
        <v>244</v>
      </c>
      <c r="E226" s="24" t="s">
        <v>136</v>
      </c>
      <c r="F226" s="80"/>
      <c r="G226" s="44"/>
      <c r="H226" s="116">
        <v>400000</v>
      </c>
      <c r="N226" s="116">
        <v>400000</v>
      </c>
      <c r="O226" s="116"/>
      <c r="P226" s="116">
        <f t="shared" si="24"/>
        <v>400000</v>
      </c>
      <c r="Q226" s="116">
        <v>400000</v>
      </c>
      <c r="R226" s="102"/>
      <c r="S226" s="116">
        <f t="shared" si="25"/>
        <v>400000</v>
      </c>
    </row>
    <row r="227" spans="1:19" ht="40.5" customHeight="1">
      <c r="A227" s="54" t="s">
        <v>245</v>
      </c>
      <c r="B227" s="24" t="s">
        <v>110</v>
      </c>
      <c r="C227" s="24" t="s">
        <v>60</v>
      </c>
      <c r="D227" s="24" t="s">
        <v>246</v>
      </c>
      <c r="E227" s="24"/>
      <c r="F227" s="80"/>
      <c r="G227" s="44"/>
      <c r="H227" s="116">
        <f>H228</f>
        <v>2504000</v>
      </c>
      <c r="N227" s="116">
        <f>N228</f>
        <v>2504000</v>
      </c>
      <c r="O227" s="116"/>
      <c r="P227" s="116">
        <f>P228</f>
        <v>2504000</v>
      </c>
      <c r="Q227" s="116">
        <f>Q228</f>
        <v>2504000</v>
      </c>
      <c r="R227" s="102"/>
      <c r="S227" s="116">
        <f>S228</f>
        <v>2504000</v>
      </c>
    </row>
    <row r="228" spans="1:19" ht="38.25" customHeight="1">
      <c r="A228" s="50" t="s">
        <v>161</v>
      </c>
      <c r="B228" s="24" t="s">
        <v>110</v>
      </c>
      <c r="C228" s="24" t="s">
        <v>60</v>
      </c>
      <c r="D228" s="24" t="s">
        <v>246</v>
      </c>
      <c r="E228" s="24" t="s">
        <v>136</v>
      </c>
      <c r="F228" s="80"/>
      <c r="G228" s="44"/>
      <c r="H228" s="116">
        <v>2504000</v>
      </c>
      <c r="N228" s="116">
        <v>2504000</v>
      </c>
      <c r="O228" s="116"/>
      <c r="P228" s="116">
        <f t="shared" si="24"/>
        <v>2504000</v>
      </c>
      <c r="Q228" s="116">
        <v>2504000</v>
      </c>
      <c r="R228" s="102"/>
      <c r="S228" s="116">
        <f t="shared" si="25"/>
        <v>2504000</v>
      </c>
    </row>
    <row r="229" spans="1:19" ht="48.75" customHeight="1">
      <c r="A229" s="55" t="s">
        <v>247</v>
      </c>
      <c r="B229" s="24" t="s">
        <v>110</v>
      </c>
      <c r="C229" s="24" t="s">
        <v>60</v>
      </c>
      <c r="D229" s="45" t="s">
        <v>41</v>
      </c>
      <c r="E229" s="24"/>
      <c r="F229" s="80"/>
      <c r="G229" s="44"/>
      <c r="H229" s="116">
        <f>H230+H232+H234</f>
        <v>5017000</v>
      </c>
      <c r="N229" s="116">
        <f>N230+N232+N234</f>
        <v>5017000</v>
      </c>
      <c r="O229" s="116"/>
      <c r="P229" s="116">
        <f>P230+P232+P234</f>
        <v>5017000</v>
      </c>
      <c r="Q229" s="116">
        <f>Q230+Q232+Q234</f>
        <v>5017000</v>
      </c>
      <c r="R229" s="102"/>
      <c r="S229" s="116">
        <f>S230+S232+S234</f>
        <v>5017000</v>
      </c>
    </row>
    <row r="230" spans="1:19" ht="33" customHeight="1">
      <c r="A230" s="54" t="s">
        <v>248</v>
      </c>
      <c r="B230" s="24" t="s">
        <v>110</v>
      </c>
      <c r="C230" s="24" t="s">
        <v>60</v>
      </c>
      <c r="D230" s="24" t="s">
        <v>249</v>
      </c>
      <c r="E230" s="24"/>
      <c r="F230" s="80"/>
      <c r="G230" s="44"/>
      <c r="H230" s="116">
        <f>H231</f>
        <v>3173520</v>
      </c>
      <c r="N230" s="116">
        <f>N231</f>
        <v>3173520</v>
      </c>
      <c r="O230" s="116"/>
      <c r="P230" s="116">
        <f>P231</f>
        <v>3173520</v>
      </c>
      <c r="Q230" s="116">
        <f>Q231</f>
        <v>3173520</v>
      </c>
      <c r="R230" s="102"/>
      <c r="S230" s="116">
        <f>S231</f>
        <v>3173520</v>
      </c>
    </row>
    <row r="231" spans="1:19" ht="32.25" customHeight="1">
      <c r="A231" s="50" t="s">
        <v>161</v>
      </c>
      <c r="B231" s="24" t="s">
        <v>110</v>
      </c>
      <c r="C231" s="24" t="s">
        <v>60</v>
      </c>
      <c r="D231" s="24" t="s">
        <v>249</v>
      </c>
      <c r="E231" s="24" t="s">
        <v>136</v>
      </c>
      <c r="F231" s="80"/>
      <c r="G231" s="44"/>
      <c r="H231" s="116">
        <v>3173520</v>
      </c>
      <c r="N231" s="116">
        <v>3173520</v>
      </c>
      <c r="O231" s="116"/>
      <c r="P231" s="116">
        <f>N231+O231</f>
        <v>3173520</v>
      </c>
      <c r="Q231" s="116">
        <v>3173520</v>
      </c>
      <c r="R231" s="102"/>
      <c r="S231" s="116">
        <f>Q231+R231</f>
        <v>3173520</v>
      </c>
    </row>
    <row r="232" spans="1:19" ht="22.5" customHeight="1">
      <c r="A232" s="54" t="s">
        <v>250</v>
      </c>
      <c r="B232" s="24" t="s">
        <v>110</v>
      </c>
      <c r="C232" s="24" t="s">
        <v>60</v>
      </c>
      <c r="D232" s="24" t="s">
        <v>251</v>
      </c>
      <c r="E232" s="24"/>
      <c r="F232" s="80"/>
      <c r="G232" s="44"/>
      <c r="H232" s="116">
        <f>H233</f>
        <v>1743480</v>
      </c>
      <c r="N232" s="116">
        <f>N233</f>
        <v>1743480</v>
      </c>
      <c r="O232" s="116"/>
      <c r="P232" s="116">
        <f>P233</f>
        <v>1743480</v>
      </c>
      <c r="Q232" s="116">
        <f>Q233</f>
        <v>1743480</v>
      </c>
      <c r="R232" s="102"/>
      <c r="S232" s="116">
        <f>S233</f>
        <v>1743480</v>
      </c>
    </row>
    <row r="233" spans="1:19" ht="36" customHeight="1">
      <c r="A233" s="50" t="s">
        <v>161</v>
      </c>
      <c r="B233" s="24" t="s">
        <v>110</v>
      </c>
      <c r="C233" s="24" t="s">
        <v>60</v>
      </c>
      <c r="D233" s="24" t="s">
        <v>251</v>
      </c>
      <c r="E233" s="24" t="s">
        <v>136</v>
      </c>
      <c r="F233" s="80"/>
      <c r="G233" s="44"/>
      <c r="H233" s="116">
        <v>1743480</v>
      </c>
      <c r="N233" s="116">
        <v>1743480</v>
      </c>
      <c r="O233" s="116"/>
      <c r="P233" s="116">
        <f>N233+O233</f>
        <v>1743480</v>
      </c>
      <c r="Q233" s="116">
        <v>1743480</v>
      </c>
      <c r="R233" s="102"/>
      <c r="S233" s="116">
        <f>Q233+R233</f>
        <v>1743480</v>
      </c>
    </row>
    <row r="234" spans="1:19" ht="20.25" customHeight="1">
      <c r="A234" s="54" t="s">
        <v>252</v>
      </c>
      <c r="B234" s="24" t="s">
        <v>110</v>
      </c>
      <c r="C234" s="24" t="s">
        <v>60</v>
      </c>
      <c r="D234" s="24" t="s">
        <v>253</v>
      </c>
      <c r="E234" s="24"/>
      <c r="F234" s="80"/>
      <c r="G234" s="44"/>
      <c r="H234" s="116">
        <f>H235</f>
        <v>100000</v>
      </c>
      <c r="N234" s="116">
        <f>N235</f>
        <v>100000</v>
      </c>
      <c r="O234" s="116"/>
      <c r="P234" s="116">
        <f>P235</f>
        <v>100000</v>
      </c>
      <c r="Q234" s="116">
        <f>Q235</f>
        <v>100000</v>
      </c>
      <c r="R234" s="102"/>
      <c r="S234" s="116">
        <f>S235</f>
        <v>100000</v>
      </c>
    </row>
    <row r="235" spans="1:19" ht="33.75" customHeight="1">
      <c r="A235" s="50" t="s">
        <v>161</v>
      </c>
      <c r="B235" s="24" t="s">
        <v>110</v>
      </c>
      <c r="C235" s="24" t="s">
        <v>60</v>
      </c>
      <c r="D235" s="24" t="s">
        <v>253</v>
      </c>
      <c r="E235" s="24" t="s">
        <v>136</v>
      </c>
      <c r="F235" s="80"/>
      <c r="G235" s="44"/>
      <c r="H235" s="116">
        <v>100000</v>
      </c>
      <c r="N235" s="116">
        <v>100000</v>
      </c>
      <c r="O235" s="116"/>
      <c r="P235" s="116">
        <f>N235+O235</f>
        <v>100000</v>
      </c>
      <c r="Q235" s="116">
        <v>100000</v>
      </c>
      <c r="R235" s="102"/>
      <c r="S235" s="116">
        <f>Q235+R235</f>
        <v>100000</v>
      </c>
    </row>
    <row r="236" spans="1:19" ht="53.25" customHeight="1">
      <c r="A236" s="50" t="s">
        <v>520</v>
      </c>
      <c r="B236" s="24" t="s">
        <v>110</v>
      </c>
      <c r="C236" s="24" t="s">
        <v>60</v>
      </c>
      <c r="D236" s="24" t="s">
        <v>255</v>
      </c>
      <c r="E236" s="24"/>
      <c r="F236" s="80"/>
      <c r="G236" s="44"/>
      <c r="H236" s="116">
        <f>H237</f>
        <v>6931200</v>
      </c>
      <c r="N236" s="116">
        <f>N237</f>
        <v>3931200</v>
      </c>
      <c r="O236" s="116"/>
      <c r="P236" s="116">
        <f>P237</f>
        <v>3463400</v>
      </c>
      <c r="Q236" s="116">
        <f>Q237</f>
        <v>3931200</v>
      </c>
      <c r="R236" s="102"/>
      <c r="S236" s="116">
        <f>S237</f>
        <v>3931200</v>
      </c>
    </row>
    <row r="237" spans="1:19" ht="37.5" customHeight="1">
      <c r="A237" s="41" t="s">
        <v>521</v>
      </c>
      <c r="B237" s="24" t="s">
        <v>110</v>
      </c>
      <c r="C237" s="24" t="s">
        <v>60</v>
      </c>
      <c r="D237" s="24" t="s">
        <v>256</v>
      </c>
      <c r="E237" s="24"/>
      <c r="F237" s="80"/>
      <c r="G237" s="44"/>
      <c r="H237" s="116">
        <f>H238+H241</f>
        <v>6931200</v>
      </c>
      <c r="N237" s="116">
        <f>N238+N241</f>
        <v>3931200</v>
      </c>
      <c r="O237" s="116"/>
      <c r="P237" s="116">
        <f>P238+P241</f>
        <v>3463400</v>
      </c>
      <c r="Q237" s="116">
        <f>Q238+Q241</f>
        <v>3931200</v>
      </c>
      <c r="R237" s="102"/>
      <c r="S237" s="116">
        <f>S238+S241</f>
        <v>3931200</v>
      </c>
    </row>
    <row r="238" spans="1:19" ht="39" customHeight="1">
      <c r="A238" s="33" t="s">
        <v>257</v>
      </c>
      <c r="B238" s="24" t="s">
        <v>110</v>
      </c>
      <c r="C238" s="24" t="s">
        <v>60</v>
      </c>
      <c r="D238" s="24" t="s">
        <v>258</v>
      </c>
      <c r="E238" s="24"/>
      <c r="F238" s="80"/>
      <c r="G238" s="44"/>
      <c r="H238" s="116">
        <f>H239</f>
        <v>6000000</v>
      </c>
      <c r="N238" s="116">
        <f>N239</f>
        <v>3000000</v>
      </c>
      <c r="O238" s="116"/>
      <c r="P238" s="116">
        <f>P239+P240</f>
        <v>2197200</v>
      </c>
      <c r="Q238" s="116">
        <f>Q239</f>
        <v>3000000</v>
      </c>
      <c r="R238" s="102"/>
      <c r="S238" s="116">
        <f>S239+S240</f>
        <v>3000000</v>
      </c>
    </row>
    <row r="239" spans="1:19" ht="51.75" customHeight="1">
      <c r="A239" s="50" t="s">
        <v>259</v>
      </c>
      <c r="B239" s="24" t="s">
        <v>110</v>
      </c>
      <c r="C239" s="24" t="s">
        <v>60</v>
      </c>
      <c r="D239" s="24" t="s">
        <v>258</v>
      </c>
      <c r="E239" s="24" t="s">
        <v>162</v>
      </c>
      <c r="F239" s="180"/>
      <c r="G239" s="181"/>
      <c r="H239" s="182">
        <v>6000000</v>
      </c>
      <c r="I239" s="183"/>
      <c r="J239" s="183"/>
      <c r="K239" s="183"/>
      <c r="L239" s="183"/>
      <c r="M239" s="183"/>
      <c r="N239" s="116">
        <v>3000000</v>
      </c>
      <c r="O239" s="116">
        <f>-3000000</f>
        <v>-3000000</v>
      </c>
      <c r="P239" s="116">
        <f>N239+O239</f>
        <v>0</v>
      </c>
      <c r="Q239" s="116">
        <v>3000000</v>
      </c>
      <c r="R239" s="102">
        <f>-3000000</f>
        <v>-3000000</v>
      </c>
      <c r="S239" s="116">
        <f>Q239+R239</f>
        <v>0</v>
      </c>
    </row>
    <row r="240" spans="1:19" ht="51.75" customHeight="1">
      <c r="A240" s="50" t="s">
        <v>522</v>
      </c>
      <c r="B240" s="24"/>
      <c r="C240" s="24" t="s">
        <v>60</v>
      </c>
      <c r="D240" s="24" t="s">
        <v>258</v>
      </c>
      <c r="E240" s="24" t="s">
        <v>523</v>
      </c>
      <c r="F240" s="180"/>
      <c r="G240" s="181"/>
      <c r="H240" s="182"/>
      <c r="I240" s="183"/>
      <c r="J240" s="183"/>
      <c r="K240" s="183"/>
      <c r="L240" s="183"/>
      <c r="M240" s="183"/>
      <c r="N240" s="116"/>
      <c r="O240" s="116">
        <f>3000000-802800</f>
        <v>2197200</v>
      </c>
      <c r="P240" s="116">
        <f>N240+O240</f>
        <v>2197200</v>
      </c>
      <c r="Q240" s="116"/>
      <c r="R240" s="102">
        <f>3000000</f>
        <v>3000000</v>
      </c>
      <c r="S240" s="116">
        <f>Q240+R240</f>
        <v>3000000</v>
      </c>
    </row>
    <row r="241" spans="1:19" ht="22.5" customHeight="1">
      <c r="A241" s="41" t="s">
        <v>260</v>
      </c>
      <c r="B241" s="24" t="s">
        <v>110</v>
      </c>
      <c r="C241" s="24" t="s">
        <v>60</v>
      </c>
      <c r="D241" s="24" t="s">
        <v>261</v>
      </c>
      <c r="E241" s="24"/>
      <c r="F241" s="80"/>
      <c r="G241" s="44"/>
      <c r="H241" s="116">
        <f>H242</f>
        <v>931200</v>
      </c>
      <c r="N241" s="116">
        <f>N242</f>
        <v>931200</v>
      </c>
      <c r="O241" s="116"/>
      <c r="P241" s="116">
        <f>P242+P243</f>
        <v>1266200</v>
      </c>
      <c r="Q241" s="116">
        <f>Q242</f>
        <v>931200</v>
      </c>
      <c r="R241" s="102"/>
      <c r="S241" s="116">
        <f>S242+S243</f>
        <v>931200</v>
      </c>
    </row>
    <row r="242" spans="1:19" ht="48" customHeight="1">
      <c r="A242" s="50" t="s">
        <v>259</v>
      </c>
      <c r="B242" s="24" t="s">
        <v>110</v>
      </c>
      <c r="C242" s="24" t="s">
        <v>60</v>
      </c>
      <c r="D242" s="24" t="s">
        <v>261</v>
      </c>
      <c r="E242" s="24" t="s">
        <v>162</v>
      </c>
      <c r="F242" s="80"/>
      <c r="G242" s="44"/>
      <c r="H242" s="116">
        <v>931200</v>
      </c>
      <c r="N242" s="116">
        <v>931200</v>
      </c>
      <c r="O242" s="116">
        <f>-931200</f>
        <v>-931200</v>
      </c>
      <c r="P242" s="116">
        <f>N242+O242</f>
        <v>0</v>
      </c>
      <c r="Q242" s="116">
        <v>931200</v>
      </c>
      <c r="R242" s="102">
        <f>-931200</f>
        <v>-931200</v>
      </c>
      <c r="S242" s="116">
        <f>Q242+R242</f>
        <v>0</v>
      </c>
    </row>
    <row r="243" spans="1:19" ht="48" customHeight="1">
      <c r="A243" s="50" t="s">
        <v>522</v>
      </c>
      <c r="B243" s="24"/>
      <c r="C243" s="24" t="s">
        <v>60</v>
      </c>
      <c r="D243" s="24" t="s">
        <v>261</v>
      </c>
      <c r="E243" s="24" t="s">
        <v>523</v>
      </c>
      <c r="F243" s="80"/>
      <c r="G243" s="44"/>
      <c r="H243" s="116"/>
      <c r="N243" s="116"/>
      <c r="O243" s="116">
        <f>931200+335000</f>
        <v>1266200</v>
      </c>
      <c r="P243" s="116">
        <f>N243+O243</f>
        <v>1266200</v>
      </c>
      <c r="Q243" s="116"/>
      <c r="R243" s="102">
        <f>931200</f>
        <v>931200</v>
      </c>
      <c r="S243" s="116">
        <f>Q243+R243</f>
        <v>931200</v>
      </c>
    </row>
    <row r="244" spans="1:19" ht="24" customHeight="1">
      <c r="A244" s="41" t="s">
        <v>62</v>
      </c>
      <c r="B244" s="24" t="s">
        <v>110</v>
      </c>
      <c r="C244" s="24" t="s">
        <v>61</v>
      </c>
      <c r="D244" s="24"/>
      <c r="E244" s="24"/>
      <c r="F244" s="148" t="e">
        <f>F245+F252+#REF!</f>
        <v>#REF!</v>
      </c>
      <c r="G244" s="18"/>
      <c r="H244" s="116">
        <f>H245</f>
        <v>10437000</v>
      </c>
      <c r="N244" s="116">
        <f>N245</f>
        <v>10437000</v>
      </c>
      <c r="O244" s="116"/>
      <c r="P244" s="116">
        <f>P245</f>
        <v>10437000</v>
      </c>
      <c r="Q244" s="116">
        <f>Q245</f>
        <v>10437000</v>
      </c>
      <c r="R244" s="102"/>
      <c r="S244" s="116">
        <f>S245</f>
        <v>10437000</v>
      </c>
    </row>
    <row r="245" spans="1:19" ht="32.25" customHeight="1">
      <c r="A245" s="52" t="s">
        <v>262</v>
      </c>
      <c r="B245" s="24" t="s">
        <v>110</v>
      </c>
      <c r="C245" s="24" t="s">
        <v>61</v>
      </c>
      <c r="D245" s="24" t="s">
        <v>263</v>
      </c>
      <c r="E245" s="24"/>
      <c r="F245" s="148" t="e">
        <f>F246+#REF!+F248+F250</f>
        <v>#REF!</v>
      </c>
      <c r="G245" s="18"/>
      <c r="H245" s="116">
        <f>H246+H248+H250+H252</f>
        <v>10437000</v>
      </c>
      <c r="N245" s="116">
        <f>N246+N248+N250+N252</f>
        <v>10437000</v>
      </c>
      <c r="O245" s="116"/>
      <c r="P245" s="116">
        <f>P246+P248+P250+P252</f>
        <v>10437000</v>
      </c>
      <c r="Q245" s="116">
        <f>Q246+Q248+Q250+Q252</f>
        <v>10437000</v>
      </c>
      <c r="R245" s="102"/>
      <c r="S245" s="116">
        <f>S246+S248+S250+S252</f>
        <v>10437000</v>
      </c>
    </row>
    <row r="246" spans="1:19" ht="31.5" customHeight="1">
      <c r="A246" s="51" t="s">
        <v>264</v>
      </c>
      <c r="B246" s="24" t="s">
        <v>110</v>
      </c>
      <c r="C246" s="24" t="s">
        <v>61</v>
      </c>
      <c r="D246" s="24" t="s">
        <v>265</v>
      </c>
      <c r="E246" s="24"/>
      <c r="F246" s="148">
        <f>F247</f>
        <v>0</v>
      </c>
      <c r="G246" s="18"/>
      <c r="H246" s="116">
        <f>H247</f>
        <v>6449000</v>
      </c>
      <c r="N246" s="116">
        <f>N247</f>
        <v>6449000</v>
      </c>
      <c r="O246" s="116"/>
      <c r="P246" s="116">
        <f>P247</f>
        <v>6449000</v>
      </c>
      <c r="Q246" s="116">
        <f>Q247</f>
        <v>6449000</v>
      </c>
      <c r="R246" s="102"/>
      <c r="S246" s="116">
        <f>S247</f>
        <v>6449000</v>
      </c>
    </row>
    <row r="247" spans="1:19" ht="37.5" customHeight="1">
      <c r="A247" s="50" t="s">
        <v>161</v>
      </c>
      <c r="B247" s="24" t="s">
        <v>110</v>
      </c>
      <c r="C247" s="24" t="s">
        <v>61</v>
      </c>
      <c r="D247" s="24" t="s">
        <v>265</v>
      </c>
      <c r="E247" s="24" t="s">
        <v>136</v>
      </c>
      <c r="F247" s="80">
        <v>0</v>
      </c>
      <c r="G247" s="35">
        <v>6317400</v>
      </c>
      <c r="H247" s="116">
        <v>6449000</v>
      </c>
      <c r="N247" s="116">
        <v>6449000</v>
      </c>
      <c r="O247" s="116"/>
      <c r="P247" s="116">
        <f aca="true" t="shared" si="26" ref="P247:P253">N247+O247</f>
        <v>6449000</v>
      </c>
      <c r="Q247" s="116">
        <v>6449000</v>
      </c>
      <c r="R247" s="102"/>
      <c r="S247" s="116">
        <f aca="true" t="shared" si="27" ref="S247:S253">Q247+R247</f>
        <v>6449000</v>
      </c>
    </row>
    <row r="248" spans="1:19" ht="18.75" customHeight="1">
      <c r="A248" s="52" t="s">
        <v>266</v>
      </c>
      <c r="B248" s="24" t="s">
        <v>110</v>
      </c>
      <c r="C248" s="24" t="s">
        <v>61</v>
      </c>
      <c r="D248" s="24" t="s">
        <v>267</v>
      </c>
      <c r="E248" s="24"/>
      <c r="F248" s="80">
        <f>F249</f>
        <v>0</v>
      </c>
      <c r="G248" s="24"/>
      <c r="H248" s="116">
        <f>H249</f>
        <v>500000</v>
      </c>
      <c r="N248" s="116">
        <f>N249</f>
        <v>500000</v>
      </c>
      <c r="O248" s="116"/>
      <c r="P248" s="116">
        <f>P249</f>
        <v>500000</v>
      </c>
      <c r="Q248" s="116">
        <f>Q249</f>
        <v>500000</v>
      </c>
      <c r="R248" s="102"/>
      <c r="S248" s="116">
        <f>S249</f>
        <v>500000</v>
      </c>
    </row>
    <row r="249" spans="1:19" ht="35.25" customHeight="1">
      <c r="A249" s="50" t="s">
        <v>161</v>
      </c>
      <c r="B249" s="24" t="s">
        <v>110</v>
      </c>
      <c r="C249" s="24" t="s">
        <v>61</v>
      </c>
      <c r="D249" s="24" t="s">
        <v>267</v>
      </c>
      <c r="E249" s="24" t="s">
        <v>136</v>
      </c>
      <c r="F249" s="80">
        <v>0</v>
      </c>
      <c r="G249" s="24" t="s">
        <v>268</v>
      </c>
      <c r="H249" s="116">
        <v>500000</v>
      </c>
      <c r="N249" s="116">
        <v>500000</v>
      </c>
      <c r="O249" s="116"/>
      <c r="P249" s="116">
        <f t="shared" si="26"/>
        <v>500000</v>
      </c>
      <c r="Q249" s="116">
        <v>500000</v>
      </c>
      <c r="R249" s="102"/>
      <c r="S249" s="116">
        <f t="shared" si="27"/>
        <v>500000</v>
      </c>
    </row>
    <row r="250" spans="1:19" ht="37.5" customHeight="1">
      <c r="A250" s="52" t="s">
        <v>269</v>
      </c>
      <c r="B250" s="24" t="s">
        <v>110</v>
      </c>
      <c r="C250" s="24" t="s">
        <v>61</v>
      </c>
      <c r="D250" s="24" t="s">
        <v>270</v>
      </c>
      <c r="E250" s="24"/>
      <c r="F250" s="80">
        <f>F251</f>
        <v>0</v>
      </c>
      <c r="G250" s="24"/>
      <c r="H250" s="116">
        <f>H251</f>
        <v>238000</v>
      </c>
      <c r="N250" s="116">
        <f>N251</f>
        <v>238000</v>
      </c>
      <c r="O250" s="116"/>
      <c r="P250" s="116">
        <f>P251</f>
        <v>238000</v>
      </c>
      <c r="Q250" s="116">
        <f>Q251</f>
        <v>238000</v>
      </c>
      <c r="R250" s="102"/>
      <c r="S250" s="116">
        <f>S251</f>
        <v>238000</v>
      </c>
    </row>
    <row r="251" spans="1:19" ht="35.25" customHeight="1">
      <c r="A251" s="50" t="s">
        <v>161</v>
      </c>
      <c r="B251" s="24">
        <v>901</v>
      </c>
      <c r="C251" s="24" t="s">
        <v>61</v>
      </c>
      <c r="D251" s="24" t="s">
        <v>270</v>
      </c>
      <c r="E251" s="24" t="s">
        <v>136</v>
      </c>
      <c r="F251" s="80">
        <v>0</v>
      </c>
      <c r="G251" s="35">
        <v>3820000</v>
      </c>
      <c r="H251" s="116">
        <v>238000</v>
      </c>
      <c r="N251" s="116">
        <v>238000</v>
      </c>
      <c r="O251" s="116"/>
      <c r="P251" s="116">
        <f t="shared" si="26"/>
        <v>238000</v>
      </c>
      <c r="Q251" s="116">
        <v>238000</v>
      </c>
      <c r="R251" s="102"/>
      <c r="S251" s="116">
        <f t="shared" si="27"/>
        <v>238000</v>
      </c>
    </row>
    <row r="252" spans="1:19" ht="20.25" customHeight="1">
      <c r="A252" s="54" t="s">
        <v>271</v>
      </c>
      <c r="B252" s="31" t="s">
        <v>110</v>
      </c>
      <c r="C252" s="31" t="s">
        <v>61</v>
      </c>
      <c r="D252" s="31" t="s">
        <v>272</v>
      </c>
      <c r="E252" s="31"/>
      <c r="F252" s="153" t="e">
        <f>#REF!+F253</f>
        <v>#REF!</v>
      </c>
      <c r="G252" s="31"/>
      <c r="H252" s="115">
        <f>H253</f>
        <v>3250000</v>
      </c>
      <c r="N252" s="115">
        <f>N253</f>
        <v>3250000</v>
      </c>
      <c r="O252" s="115"/>
      <c r="P252" s="115">
        <f>P253</f>
        <v>3250000</v>
      </c>
      <c r="Q252" s="115">
        <f>Q253</f>
        <v>3250000</v>
      </c>
      <c r="R252" s="102"/>
      <c r="S252" s="115">
        <f>S253</f>
        <v>3250000</v>
      </c>
    </row>
    <row r="253" spans="1:19" ht="39" customHeight="1">
      <c r="A253" s="50" t="s">
        <v>161</v>
      </c>
      <c r="B253" s="31" t="s">
        <v>110</v>
      </c>
      <c r="C253" s="31" t="s">
        <v>61</v>
      </c>
      <c r="D253" s="31" t="s">
        <v>272</v>
      </c>
      <c r="E253" s="31" t="s">
        <v>136</v>
      </c>
      <c r="F253" s="153" t="e">
        <f>#REF!+#REF!</f>
        <v>#REF!</v>
      </c>
      <c r="G253" s="31"/>
      <c r="H253" s="115">
        <v>3250000</v>
      </c>
      <c r="N253" s="115">
        <v>3250000</v>
      </c>
      <c r="O253" s="115"/>
      <c r="P253" s="116">
        <f t="shared" si="26"/>
        <v>3250000</v>
      </c>
      <c r="Q253" s="115">
        <v>3250000</v>
      </c>
      <c r="R253" s="102"/>
      <c r="S253" s="116">
        <f t="shared" si="27"/>
        <v>3250000</v>
      </c>
    </row>
    <row r="254" spans="1:19" ht="33" customHeight="1">
      <c r="A254" s="41" t="s">
        <v>63</v>
      </c>
      <c r="B254" s="24" t="s">
        <v>110</v>
      </c>
      <c r="C254" s="24" t="s">
        <v>64</v>
      </c>
      <c r="D254" s="24"/>
      <c r="E254" s="24"/>
      <c r="F254" s="80" t="e">
        <f>F255+#REF!</f>
        <v>#REF!</v>
      </c>
      <c r="G254" s="24"/>
      <c r="H254" s="116">
        <f>H255</f>
        <v>300000</v>
      </c>
      <c r="N254" s="116">
        <f>N255</f>
        <v>0</v>
      </c>
      <c r="O254" s="116"/>
      <c r="P254" s="116"/>
      <c r="Q254" s="116">
        <f>Q255</f>
        <v>0</v>
      </c>
      <c r="R254" s="102"/>
      <c r="S254" s="116"/>
    </row>
    <row r="255" spans="1:19" ht="81" customHeight="1">
      <c r="A255" s="52" t="s">
        <v>273</v>
      </c>
      <c r="B255" s="24" t="s">
        <v>110</v>
      </c>
      <c r="C255" s="24" t="s">
        <v>64</v>
      </c>
      <c r="D255" s="24" t="s">
        <v>274</v>
      </c>
      <c r="E255" s="24"/>
      <c r="F255" s="80">
        <f>F256</f>
        <v>0</v>
      </c>
      <c r="G255" s="24"/>
      <c r="H255" s="116">
        <f>H256</f>
        <v>300000</v>
      </c>
      <c r="N255" s="116">
        <f>N256</f>
        <v>0</v>
      </c>
      <c r="O255" s="116"/>
      <c r="P255" s="116"/>
      <c r="Q255" s="116">
        <f>Q256</f>
        <v>0</v>
      </c>
      <c r="R255" s="102"/>
      <c r="S255" s="116"/>
    </row>
    <row r="256" spans="1:19" ht="33.75" customHeight="1">
      <c r="A256" s="54" t="s">
        <v>275</v>
      </c>
      <c r="B256" s="24" t="s">
        <v>110</v>
      </c>
      <c r="C256" s="24" t="s">
        <v>64</v>
      </c>
      <c r="D256" s="24" t="s">
        <v>276</v>
      </c>
      <c r="E256" s="24"/>
      <c r="F256" s="80">
        <v>0</v>
      </c>
      <c r="G256" s="24" t="s">
        <v>172</v>
      </c>
      <c r="H256" s="116">
        <f>F256+G256</f>
        <v>300000</v>
      </c>
      <c r="N256" s="116">
        <f>L256+M256</f>
        <v>0</v>
      </c>
      <c r="O256" s="116"/>
      <c r="P256" s="116"/>
      <c r="Q256" s="116">
        <f>M256+N256</f>
        <v>0</v>
      </c>
      <c r="R256" s="102"/>
      <c r="S256" s="116"/>
    </row>
    <row r="257" spans="1:19" ht="51" customHeight="1">
      <c r="A257" s="53" t="s">
        <v>277</v>
      </c>
      <c r="B257" s="24" t="s">
        <v>110</v>
      </c>
      <c r="C257" s="24" t="s">
        <v>64</v>
      </c>
      <c r="D257" s="24" t="s">
        <v>276</v>
      </c>
      <c r="E257" s="24" t="s">
        <v>151</v>
      </c>
      <c r="F257" s="80"/>
      <c r="G257" s="24"/>
      <c r="H257" s="116">
        <v>300000</v>
      </c>
      <c r="N257" s="116">
        <v>0</v>
      </c>
      <c r="O257" s="116"/>
      <c r="P257" s="116"/>
      <c r="Q257" s="116">
        <v>0</v>
      </c>
      <c r="R257" s="102"/>
      <c r="S257" s="116"/>
    </row>
    <row r="258" spans="1:19" ht="16.5" customHeight="1">
      <c r="A258" s="98" t="s">
        <v>65</v>
      </c>
      <c r="B258" s="87" t="s">
        <v>66</v>
      </c>
      <c r="C258" s="90" t="s">
        <v>66</v>
      </c>
      <c r="D258" s="87"/>
      <c r="E258" s="87"/>
      <c r="F258" s="147"/>
      <c r="G258" s="88"/>
      <c r="H258" s="120">
        <f>H259+H264</f>
        <v>1192000</v>
      </c>
      <c r="N258" s="120">
        <f>N259+N264</f>
        <v>1304100</v>
      </c>
      <c r="O258" s="120"/>
      <c r="P258" s="120">
        <f>P259+P264</f>
        <v>1304100</v>
      </c>
      <c r="Q258" s="120">
        <f>Q259+Q264</f>
        <v>1369305</v>
      </c>
      <c r="R258" s="102"/>
      <c r="S258" s="120">
        <f>S259+S264</f>
        <v>1369305</v>
      </c>
    </row>
    <row r="259" spans="1:19" ht="16.5" customHeight="1">
      <c r="A259" s="86" t="s">
        <v>176</v>
      </c>
      <c r="B259" s="87"/>
      <c r="C259" s="40" t="s">
        <v>111</v>
      </c>
      <c r="D259" s="87"/>
      <c r="E259" s="87"/>
      <c r="F259" s="147"/>
      <c r="G259" s="88"/>
      <c r="H259" s="120">
        <f>H260</f>
        <v>100000</v>
      </c>
      <c r="N259" s="120">
        <f aca="true" t="shared" si="28" ref="N259:S262">N260</f>
        <v>100000</v>
      </c>
      <c r="O259" s="120"/>
      <c r="P259" s="120">
        <f t="shared" si="28"/>
        <v>100000</v>
      </c>
      <c r="Q259" s="120">
        <f t="shared" si="28"/>
        <v>100000</v>
      </c>
      <c r="R259" s="102"/>
      <c r="S259" s="120">
        <f t="shared" si="28"/>
        <v>100000</v>
      </c>
    </row>
    <row r="260" spans="1:19" ht="51" customHeight="1">
      <c r="A260" s="85" t="s">
        <v>433</v>
      </c>
      <c r="B260" s="14"/>
      <c r="C260" s="40" t="s">
        <v>111</v>
      </c>
      <c r="D260" s="40" t="s">
        <v>112</v>
      </c>
      <c r="E260" s="40"/>
      <c r="F260" s="147"/>
      <c r="G260" s="40"/>
      <c r="H260" s="121">
        <f>H261</f>
        <v>100000</v>
      </c>
      <c r="N260" s="121">
        <f t="shared" si="28"/>
        <v>100000</v>
      </c>
      <c r="O260" s="121"/>
      <c r="P260" s="121">
        <f t="shared" si="28"/>
        <v>100000</v>
      </c>
      <c r="Q260" s="121">
        <f t="shared" si="28"/>
        <v>100000</v>
      </c>
      <c r="R260" s="102"/>
      <c r="S260" s="121">
        <f t="shared" si="28"/>
        <v>100000</v>
      </c>
    </row>
    <row r="261" spans="1:19" ht="50.25" customHeight="1">
      <c r="A261" s="91" t="s">
        <v>460</v>
      </c>
      <c r="B261" s="14"/>
      <c r="C261" s="40" t="s">
        <v>111</v>
      </c>
      <c r="D261" s="40" t="s">
        <v>0</v>
      </c>
      <c r="E261" s="40"/>
      <c r="F261" s="147"/>
      <c r="G261" s="40"/>
      <c r="H261" s="121">
        <f>H262</f>
        <v>100000</v>
      </c>
      <c r="N261" s="121">
        <f t="shared" si="28"/>
        <v>100000</v>
      </c>
      <c r="O261" s="121"/>
      <c r="P261" s="121">
        <f t="shared" si="28"/>
        <v>100000</v>
      </c>
      <c r="Q261" s="121">
        <f t="shared" si="28"/>
        <v>100000</v>
      </c>
      <c r="R261" s="102"/>
      <c r="S261" s="121">
        <f t="shared" si="28"/>
        <v>100000</v>
      </c>
    </row>
    <row r="262" spans="1:19" ht="33" customHeight="1">
      <c r="A262" s="91" t="s">
        <v>26</v>
      </c>
      <c r="B262" s="14"/>
      <c r="C262" s="40" t="s">
        <v>111</v>
      </c>
      <c r="D262" s="40" t="s">
        <v>27</v>
      </c>
      <c r="E262" s="40"/>
      <c r="F262" s="147"/>
      <c r="G262" s="40"/>
      <c r="H262" s="121">
        <f>H263</f>
        <v>100000</v>
      </c>
      <c r="N262" s="121">
        <f t="shared" si="28"/>
        <v>100000</v>
      </c>
      <c r="O262" s="121"/>
      <c r="P262" s="121">
        <f t="shared" si="28"/>
        <v>100000</v>
      </c>
      <c r="Q262" s="121">
        <f t="shared" si="28"/>
        <v>100000</v>
      </c>
      <c r="R262" s="102"/>
      <c r="S262" s="121">
        <f t="shared" si="28"/>
        <v>100000</v>
      </c>
    </row>
    <row r="263" spans="1:19" ht="34.5" customHeight="1">
      <c r="A263" s="96" t="s">
        <v>161</v>
      </c>
      <c r="B263" s="14"/>
      <c r="C263" s="40" t="s">
        <v>111</v>
      </c>
      <c r="D263" s="40" t="s">
        <v>27</v>
      </c>
      <c r="E263" s="40" t="s">
        <v>136</v>
      </c>
      <c r="F263" s="147"/>
      <c r="G263" s="40"/>
      <c r="H263" s="121">
        <v>100000</v>
      </c>
      <c r="N263" s="121">
        <v>100000</v>
      </c>
      <c r="O263" s="121"/>
      <c r="P263" s="116">
        <f>N263+O263</f>
        <v>100000</v>
      </c>
      <c r="Q263" s="121">
        <v>100000</v>
      </c>
      <c r="R263" s="102"/>
      <c r="S263" s="116">
        <f>Q263+R263</f>
        <v>100000</v>
      </c>
    </row>
    <row r="264" spans="1:19" ht="31.5">
      <c r="A264" s="86" t="s">
        <v>67</v>
      </c>
      <c r="B264" s="87"/>
      <c r="C264" s="87" t="s">
        <v>68</v>
      </c>
      <c r="D264" s="87"/>
      <c r="E264" s="87"/>
      <c r="F264" s="147"/>
      <c r="G264" s="88"/>
      <c r="H264" s="120">
        <f>H267</f>
        <v>1092000</v>
      </c>
      <c r="N264" s="120">
        <f>N267</f>
        <v>1204100</v>
      </c>
      <c r="O264" s="120"/>
      <c r="P264" s="120">
        <f>P267</f>
        <v>1204100</v>
      </c>
      <c r="Q264" s="120">
        <f>Q267</f>
        <v>1269305</v>
      </c>
      <c r="R264" s="102"/>
      <c r="S264" s="120">
        <f>S267</f>
        <v>1269305</v>
      </c>
    </row>
    <row r="265" spans="1:19" ht="51" customHeight="1">
      <c r="A265" s="85" t="s">
        <v>433</v>
      </c>
      <c r="B265" s="14"/>
      <c r="C265" s="40" t="s">
        <v>68</v>
      </c>
      <c r="D265" s="40" t="s">
        <v>112</v>
      </c>
      <c r="E265" s="40"/>
      <c r="F265" s="151" t="e">
        <f>#REF!</f>
        <v>#REF!</v>
      </c>
      <c r="G265" s="40"/>
      <c r="H265" s="121">
        <f>H266</f>
        <v>1092000</v>
      </c>
      <c r="N265" s="121">
        <f aca="true" t="shared" si="29" ref="N265:S267">N266</f>
        <v>1204100</v>
      </c>
      <c r="O265" s="121"/>
      <c r="P265" s="121">
        <f t="shared" si="29"/>
        <v>1204100</v>
      </c>
      <c r="Q265" s="121">
        <f t="shared" si="29"/>
        <v>1269305</v>
      </c>
      <c r="R265" s="102"/>
      <c r="S265" s="121">
        <f t="shared" si="29"/>
        <v>1269305</v>
      </c>
    </row>
    <row r="266" spans="1:19" ht="47.25">
      <c r="A266" s="91" t="s">
        <v>460</v>
      </c>
      <c r="B266" s="14"/>
      <c r="C266" s="40" t="s">
        <v>68</v>
      </c>
      <c r="D266" s="40" t="s">
        <v>0</v>
      </c>
      <c r="E266" s="40"/>
      <c r="F266" s="151"/>
      <c r="G266" s="40"/>
      <c r="H266" s="121">
        <f>H267</f>
        <v>1092000</v>
      </c>
      <c r="N266" s="121">
        <f t="shared" si="29"/>
        <v>1204100</v>
      </c>
      <c r="O266" s="121"/>
      <c r="P266" s="121">
        <f t="shared" si="29"/>
        <v>1204100</v>
      </c>
      <c r="Q266" s="121">
        <f t="shared" si="29"/>
        <v>1269305</v>
      </c>
      <c r="R266" s="102"/>
      <c r="S266" s="121">
        <f t="shared" si="29"/>
        <v>1269305</v>
      </c>
    </row>
    <row r="267" spans="1:19" ht="31.5">
      <c r="A267" s="91" t="s">
        <v>26</v>
      </c>
      <c r="B267" s="14"/>
      <c r="C267" s="40" t="s">
        <v>68</v>
      </c>
      <c r="D267" s="40" t="s">
        <v>27</v>
      </c>
      <c r="E267" s="40"/>
      <c r="F267" s="151"/>
      <c r="G267" s="40"/>
      <c r="H267" s="121">
        <f>H268</f>
        <v>1092000</v>
      </c>
      <c r="N267" s="121">
        <f t="shared" si="29"/>
        <v>1204100</v>
      </c>
      <c r="O267" s="121"/>
      <c r="P267" s="121">
        <f t="shared" si="29"/>
        <v>1204100</v>
      </c>
      <c r="Q267" s="121">
        <f t="shared" si="29"/>
        <v>1269305</v>
      </c>
      <c r="R267" s="102"/>
      <c r="S267" s="121">
        <f t="shared" si="29"/>
        <v>1269305</v>
      </c>
    </row>
    <row r="268" spans="1:19" ht="33" customHeight="1">
      <c r="A268" s="96" t="s">
        <v>161</v>
      </c>
      <c r="B268" s="14"/>
      <c r="C268" s="40" t="s">
        <v>68</v>
      </c>
      <c r="D268" s="40" t="s">
        <v>27</v>
      </c>
      <c r="E268" s="40" t="s">
        <v>136</v>
      </c>
      <c r="F268" s="151">
        <v>0</v>
      </c>
      <c r="G268" s="93"/>
      <c r="H268" s="121">
        <v>1092000</v>
      </c>
      <c r="N268" s="121">
        <v>1204100</v>
      </c>
      <c r="O268" s="121"/>
      <c r="P268" s="116">
        <f>N268+O268</f>
        <v>1204100</v>
      </c>
      <c r="Q268" s="121">
        <v>1269305</v>
      </c>
      <c r="R268" s="102"/>
      <c r="S268" s="116">
        <f>Q268+R268</f>
        <v>1269305</v>
      </c>
    </row>
    <row r="269" spans="1:19" ht="18" customHeight="1">
      <c r="A269" s="41" t="s">
        <v>69</v>
      </c>
      <c r="B269" s="24" t="s">
        <v>116</v>
      </c>
      <c r="C269" s="24" t="s">
        <v>70</v>
      </c>
      <c r="D269" s="24"/>
      <c r="E269" s="24"/>
      <c r="F269" s="80" t="e">
        <f>F271+F299+F336+F371</f>
        <v>#REF!</v>
      </c>
      <c r="G269" s="24"/>
      <c r="H269" s="116" t="e">
        <f>H270+H390</f>
        <v>#REF!</v>
      </c>
      <c r="N269" s="116">
        <f>N270+N390</f>
        <v>582494300</v>
      </c>
      <c r="O269" s="116"/>
      <c r="P269" s="116">
        <f>P270+P390</f>
        <v>581994300</v>
      </c>
      <c r="Q269" s="116">
        <f>Q270+Q390</f>
        <v>617712985</v>
      </c>
      <c r="R269" s="102"/>
      <c r="S269" s="116">
        <f>S270+S390</f>
        <v>617212985</v>
      </c>
    </row>
    <row r="270" spans="1:19" ht="37.5" customHeight="1">
      <c r="A270" s="41" t="s">
        <v>465</v>
      </c>
      <c r="B270" s="24" t="s">
        <v>116</v>
      </c>
      <c r="C270" s="24" t="s">
        <v>70</v>
      </c>
      <c r="D270" s="24" t="s">
        <v>125</v>
      </c>
      <c r="E270" s="24"/>
      <c r="F270" s="80"/>
      <c r="G270" s="24"/>
      <c r="H270" s="116">
        <f>H271+H299+H345+H371</f>
        <v>575665500</v>
      </c>
      <c r="N270" s="116">
        <f>N271+N299+N345+N371</f>
        <v>573393300</v>
      </c>
      <c r="O270" s="116"/>
      <c r="P270" s="116">
        <f>P271+P299+P345+P371</f>
        <v>573393300</v>
      </c>
      <c r="Q270" s="116">
        <f>Q271+Q299+Q345+Q371</f>
        <v>608611985</v>
      </c>
      <c r="R270" s="102"/>
      <c r="S270" s="116">
        <f>S271+S299+S345+S371</f>
        <v>608611985</v>
      </c>
    </row>
    <row r="271" spans="1:19" ht="21" customHeight="1">
      <c r="A271" s="41" t="s">
        <v>84</v>
      </c>
      <c r="B271" s="24" t="s">
        <v>116</v>
      </c>
      <c r="C271" s="24" t="s">
        <v>85</v>
      </c>
      <c r="D271" s="24"/>
      <c r="E271" s="24"/>
      <c r="F271" s="80" t="e">
        <f>#REF!+F285+#REF!+#REF!+#REF!</f>
        <v>#REF!</v>
      </c>
      <c r="G271" s="24"/>
      <c r="H271" s="116">
        <f>H272</f>
        <v>159567359</v>
      </c>
      <c r="N271" s="116">
        <f>N272</f>
        <v>134024359</v>
      </c>
      <c r="O271" s="116"/>
      <c r="P271" s="116">
        <f>P272+P296</f>
        <v>159625166</v>
      </c>
      <c r="Q271" s="116">
        <f>Q272</f>
        <v>138906359</v>
      </c>
      <c r="R271" s="102"/>
      <c r="S271" s="116">
        <f>S272+S296</f>
        <v>167297656</v>
      </c>
    </row>
    <row r="272" spans="1:19" ht="36" customHeight="1">
      <c r="A272" s="41" t="s">
        <v>278</v>
      </c>
      <c r="B272" s="24" t="s">
        <v>116</v>
      </c>
      <c r="C272" s="24" t="s">
        <v>85</v>
      </c>
      <c r="D272" s="24" t="s">
        <v>279</v>
      </c>
      <c r="E272" s="24"/>
      <c r="F272" s="80" t="e">
        <f>F273+F276+F279+F280+#REF!+#REF!+F281</f>
        <v>#REF!</v>
      </c>
      <c r="G272" s="24"/>
      <c r="H272" s="116">
        <f>H273+H276+H281+H283+H285+H287</f>
        <v>159567359</v>
      </c>
      <c r="N272" s="116">
        <f>N273+N276+N281+N283+N285+N287</f>
        <v>134024359</v>
      </c>
      <c r="O272" s="116"/>
      <c r="P272" s="116">
        <f>P273+P276+P281+P283+P285+P287+P292+P289</f>
        <v>134024359</v>
      </c>
      <c r="Q272" s="116">
        <f>Q273+Q276+Q281+Q283+Q285+Q287</f>
        <v>138906359</v>
      </c>
      <c r="R272" s="102"/>
      <c r="S272" s="116">
        <f>S273+S276+S281+S283+S285+S287+S289+S292</f>
        <v>138906359</v>
      </c>
    </row>
    <row r="273" spans="1:19" ht="64.5" customHeight="1">
      <c r="A273" s="41" t="s">
        <v>280</v>
      </c>
      <c r="B273" s="24" t="s">
        <v>116</v>
      </c>
      <c r="C273" s="24" t="s">
        <v>85</v>
      </c>
      <c r="D273" s="24" t="s">
        <v>281</v>
      </c>
      <c r="E273" s="24"/>
      <c r="F273" s="80">
        <v>0</v>
      </c>
      <c r="G273" s="47">
        <v>74461823</v>
      </c>
      <c r="H273" s="116">
        <f>H275+H274</f>
        <v>49987000</v>
      </c>
      <c r="N273" s="124">
        <f>N274+N275</f>
        <v>54444000</v>
      </c>
      <c r="O273" s="124"/>
      <c r="P273" s="124">
        <f>P274+P275</f>
        <v>0</v>
      </c>
      <c r="Q273" s="124">
        <f>Q274+Q275</f>
        <v>59326000</v>
      </c>
      <c r="R273" s="102"/>
      <c r="S273" s="124">
        <f>S274+S275</f>
        <v>0</v>
      </c>
    </row>
    <row r="274" spans="1:19" ht="21" customHeight="1">
      <c r="A274" s="41" t="s">
        <v>129</v>
      </c>
      <c r="B274" s="24" t="s">
        <v>116</v>
      </c>
      <c r="C274" s="24" t="s">
        <v>85</v>
      </c>
      <c r="D274" s="24" t="s">
        <v>281</v>
      </c>
      <c r="E274" s="24" t="s">
        <v>133</v>
      </c>
      <c r="F274" s="80"/>
      <c r="G274" s="47"/>
      <c r="H274" s="116">
        <v>48695000</v>
      </c>
      <c r="N274" s="124">
        <v>52811000</v>
      </c>
      <c r="O274" s="124">
        <v>-52811000</v>
      </c>
      <c r="P274" s="116">
        <f aca="true" t="shared" si="30" ref="P274:P288">N274+O274</f>
        <v>0</v>
      </c>
      <c r="Q274" s="124">
        <v>57546200</v>
      </c>
      <c r="R274" s="102">
        <v>-57546200</v>
      </c>
      <c r="S274" s="116">
        <f aca="true" t="shared" si="31" ref="S274:S288">Q274+R274</f>
        <v>0</v>
      </c>
    </row>
    <row r="275" spans="1:19" ht="39" customHeight="1">
      <c r="A275" s="41" t="s">
        <v>161</v>
      </c>
      <c r="B275" s="24" t="s">
        <v>116</v>
      </c>
      <c r="C275" s="24" t="s">
        <v>85</v>
      </c>
      <c r="D275" s="24" t="s">
        <v>281</v>
      </c>
      <c r="E275" s="24" t="s">
        <v>136</v>
      </c>
      <c r="F275" s="80"/>
      <c r="G275" s="47"/>
      <c r="H275" s="116">
        <v>1292000</v>
      </c>
      <c r="N275" s="124">
        <v>1633000</v>
      </c>
      <c r="O275" s="124">
        <v>-1633000</v>
      </c>
      <c r="P275" s="116">
        <f t="shared" si="30"/>
        <v>0</v>
      </c>
      <c r="Q275" s="124">
        <v>1779800</v>
      </c>
      <c r="R275" s="102">
        <v>-1779800</v>
      </c>
      <c r="S275" s="116">
        <f t="shared" si="31"/>
        <v>0</v>
      </c>
    </row>
    <row r="276" spans="1:19" ht="63">
      <c r="A276" s="41" t="s">
        <v>282</v>
      </c>
      <c r="B276" s="24" t="s">
        <v>116</v>
      </c>
      <c r="C276" s="24" t="s">
        <v>85</v>
      </c>
      <c r="D276" s="24" t="s">
        <v>283</v>
      </c>
      <c r="E276" s="24"/>
      <c r="F276" s="80">
        <v>0</v>
      </c>
      <c r="G276" s="47">
        <v>241110</v>
      </c>
      <c r="H276" s="116">
        <f>H277+H278+H279+H280</f>
        <v>57870173</v>
      </c>
      <c r="N276" s="116">
        <f>N277+N278+N279+N280</f>
        <v>57870173</v>
      </c>
      <c r="O276" s="116"/>
      <c r="P276" s="116">
        <f>P277+P278+P279+P280</f>
        <v>57870173</v>
      </c>
      <c r="Q276" s="116">
        <f>Q277+Q278+Q279+Q280</f>
        <v>57870173</v>
      </c>
      <c r="R276" s="102"/>
      <c r="S276" s="116">
        <f>S277+S278+S279+S280</f>
        <v>57870173</v>
      </c>
    </row>
    <row r="277" spans="1:19" ht="18.75" customHeight="1">
      <c r="A277" s="41" t="s">
        <v>129</v>
      </c>
      <c r="B277" s="24" t="s">
        <v>116</v>
      </c>
      <c r="C277" s="24" t="s">
        <v>85</v>
      </c>
      <c r="D277" s="24" t="s">
        <v>283</v>
      </c>
      <c r="E277" s="24" t="s">
        <v>133</v>
      </c>
      <c r="F277" s="80"/>
      <c r="G277" s="47"/>
      <c r="H277" s="116">
        <v>33500702</v>
      </c>
      <c r="N277" s="116">
        <v>33500702</v>
      </c>
      <c r="O277" s="116"/>
      <c r="P277" s="116">
        <f t="shared" si="30"/>
        <v>33500702</v>
      </c>
      <c r="Q277" s="116">
        <v>33500702</v>
      </c>
      <c r="R277" s="102"/>
      <c r="S277" s="116">
        <f t="shared" si="31"/>
        <v>33500702</v>
      </c>
    </row>
    <row r="278" spans="1:19" ht="36" customHeight="1">
      <c r="A278" s="41" t="s">
        <v>130</v>
      </c>
      <c r="B278" s="24" t="s">
        <v>116</v>
      </c>
      <c r="C278" s="24" t="s">
        <v>85</v>
      </c>
      <c r="D278" s="24" t="s">
        <v>283</v>
      </c>
      <c r="E278" s="24" t="s">
        <v>134</v>
      </c>
      <c r="F278" s="80"/>
      <c r="G278" s="47"/>
      <c r="H278" s="116">
        <v>8280</v>
      </c>
      <c r="N278" s="116">
        <v>8280</v>
      </c>
      <c r="O278" s="116"/>
      <c r="P278" s="116">
        <f t="shared" si="30"/>
        <v>8280</v>
      </c>
      <c r="Q278" s="116">
        <v>8280</v>
      </c>
      <c r="R278" s="102"/>
      <c r="S278" s="116">
        <f t="shared" si="31"/>
        <v>8280</v>
      </c>
    </row>
    <row r="279" spans="1:19" ht="34.5" customHeight="1">
      <c r="A279" s="41" t="s">
        <v>131</v>
      </c>
      <c r="B279" s="24" t="s">
        <v>116</v>
      </c>
      <c r="C279" s="24" t="s">
        <v>85</v>
      </c>
      <c r="D279" s="24" t="s">
        <v>283</v>
      </c>
      <c r="E279" s="24" t="s">
        <v>135</v>
      </c>
      <c r="F279" s="80">
        <v>0</v>
      </c>
      <c r="G279" s="47">
        <v>645005</v>
      </c>
      <c r="H279" s="116">
        <v>317207</v>
      </c>
      <c r="N279" s="116">
        <v>317207</v>
      </c>
      <c r="O279" s="116"/>
      <c r="P279" s="116">
        <f t="shared" si="30"/>
        <v>317207</v>
      </c>
      <c r="Q279" s="116">
        <v>317207</v>
      </c>
      <c r="R279" s="102"/>
      <c r="S279" s="116">
        <f t="shared" si="31"/>
        <v>317207</v>
      </c>
    </row>
    <row r="280" spans="1:19" ht="33" customHeight="1">
      <c r="A280" s="41" t="s">
        <v>161</v>
      </c>
      <c r="B280" s="24" t="s">
        <v>116</v>
      </c>
      <c r="C280" s="24" t="s">
        <v>85</v>
      </c>
      <c r="D280" s="24" t="s">
        <v>283</v>
      </c>
      <c r="E280" s="24" t="s">
        <v>136</v>
      </c>
      <c r="F280" s="80">
        <v>0</v>
      </c>
      <c r="G280" s="47">
        <v>25857607</v>
      </c>
      <c r="H280" s="116">
        <v>24043984</v>
      </c>
      <c r="N280" s="116">
        <v>24043984</v>
      </c>
      <c r="O280" s="116"/>
      <c r="P280" s="116">
        <f t="shared" si="30"/>
        <v>24043984</v>
      </c>
      <c r="Q280" s="116">
        <v>24043984</v>
      </c>
      <c r="R280" s="102"/>
      <c r="S280" s="116">
        <f t="shared" si="31"/>
        <v>24043984</v>
      </c>
    </row>
    <row r="281" spans="1:19" ht="68.25" customHeight="1">
      <c r="A281" s="33" t="s">
        <v>284</v>
      </c>
      <c r="B281" s="24" t="s">
        <v>116</v>
      </c>
      <c r="C281" s="24" t="s">
        <v>85</v>
      </c>
      <c r="D281" s="24" t="s">
        <v>285</v>
      </c>
      <c r="E281" s="24"/>
      <c r="F281" s="80">
        <f>F283</f>
        <v>0</v>
      </c>
      <c r="G281" s="24"/>
      <c r="H281" s="116">
        <f>H282</f>
        <v>10558536</v>
      </c>
      <c r="N281" s="116">
        <f>N282</f>
        <v>10558536</v>
      </c>
      <c r="O281" s="116"/>
      <c r="P281" s="116">
        <f>P282</f>
        <v>10558536</v>
      </c>
      <c r="Q281" s="116">
        <f>Q282</f>
        <v>10558536</v>
      </c>
      <c r="R281" s="102"/>
      <c r="S281" s="116">
        <f>S282</f>
        <v>10558536</v>
      </c>
    </row>
    <row r="282" spans="1:19" ht="52.5" customHeight="1">
      <c r="A282" s="41" t="s">
        <v>144</v>
      </c>
      <c r="B282" s="24" t="s">
        <v>116</v>
      </c>
      <c r="C282" s="24" t="s">
        <v>85</v>
      </c>
      <c r="D282" s="24" t="s">
        <v>285</v>
      </c>
      <c r="E282" s="24" t="s">
        <v>145</v>
      </c>
      <c r="F282" s="80"/>
      <c r="G282" s="24"/>
      <c r="H282" s="116">
        <v>10558536</v>
      </c>
      <c r="N282" s="116">
        <v>10558536</v>
      </c>
      <c r="O282" s="116"/>
      <c r="P282" s="116">
        <f t="shared" si="30"/>
        <v>10558536</v>
      </c>
      <c r="Q282" s="116">
        <v>10558536</v>
      </c>
      <c r="R282" s="102"/>
      <c r="S282" s="116">
        <f t="shared" si="31"/>
        <v>10558536</v>
      </c>
    </row>
    <row r="283" spans="1:19" ht="48" customHeight="1">
      <c r="A283" s="33" t="s">
        <v>286</v>
      </c>
      <c r="B283" s="24" t="s">
        <v>116</v>
      </c>
      <c r="C283" s="24" t="s">
        <v>85</v>
      </c>
      <c r="D283" s="24" t="s">
        <v>287</v>
      </c>
      <c r="E283" s="24"/>
      <c r="F283" s="80">
        <v>0</v>
      </c>
      <c r="G283" s="47">
        <v>179004</v>
      </c>
      <c r="H283" s="116">
        <f>H284</f>
        <v>10925900</v>
      </c>
      <c r="N283" s="116">
        <f>N284</f>
        <v>10925900</v>
      </c>
      <c r="O283" s="116"/>
      <c r="P283" s="116">
        <f>P284</f>
        <v>10925900</v>
      </c>
      <c r="Q283" s="116">
        <f>Q284</f>
        <v>10925900</v>
      </c>
      <c r="R283" s="102"/>
      <c r="S283" s="116">
        <f>S284</f>
        <v>10925900</v>
      </c>
    </row>
    <row r="284" spans="1:19" ht="36" customHeight="1">
      <c r="A284" s="41" t="s">
        <v>161</v>
      </c>
      <c r="B284" s="24" t="s">
        <v>116</v>
      </c>
      <c r="C284" s="24" t="s">
        <v>85</v>
      </c>
      <c r="D284" s="24" t="s">
        <v>287</v>
      </c>
      <c r="E284" s="24" t="s">
        <v>136</v>
      </c>
      <c r="F284" s="80">
        <v>0</v>
      </c>
      <c r="G284" s="47">
        <v>12302600</v>
      </c>
      <c r="H284" s="116">
        <v>10925900</v>
      </c>
      <c r="N284" s="116">
        <v>10925900</v>
      </c>
      <c r="O284" s="116"/>
      <c r="P284" s="116">
        <f t="shared" si="30"/>
        <v>10925900</v>
      </c>
      <c r="Q284" s="116">
        <v>10925900</v>
      </c>
      <c r="R284" s="102"/>
      <c r="S284" s="116">
        <f t="shared" si="31"/>
        <v>10925900</v>
      </c>
    </row>
    <row r="285" spans="1:19" ht="51.75" customHeight="1">
      <c r="A285" s="41" t="s">
        <v>288</v>
      </c>
      <c r="B285" s="24" t="s">
        <v>116</v>
      </c>
      <c r="C285" s="24" t="s">
        <v>85</v>
      </c>
      <c r="D285" s="24" t="s">
        <v>289</v>
      </c>
      <c r="E285" s="24"/>
      <c r="F285" s="80" t="e">
        <f>#REF!+#REF!+#REF!+F287+#REF!+#REF!</f>
        <v>#REF!</v>
      </c>
      <c r="G285" s="24"/>
      <c r="H285" s="116">
        <f>H286</f>
        <v>225750</v>
      </c>
      <c r="N285" s="116">
        <f>N286</f>
        <v>225750</v>
      </c>
      <c r="O285" s="116"/>
      <c r="P285" s="116">
        <f>P286</f>
        <v>225750</v>
      </c>
      <c r="Q285" s="116">
        <f>Q286</f>
        <v>225750</v>
      </c>
      <c r="R285" s="102"/>
      <c r="S285" s="116">
        <f>S286</f>
        <v>225750</v>
      </c>
    </row>
    <row r="286" spans="1:19" ht="41.25" customHeight="1">
      <c r="A286" s="41" t="s">
        <v>161</v>
      </c>
      <c r="B286" s="24" t="s">
        <v>116</v>
      </c>
      <c r="C286" s="24" t="s">
        <v>85</v>
      </c>
      <c r="D286" s="24" t="s">
        <v>289</v>
      </c>
      <c r="E286" s="24" t="s">
        <v>136</v>
      </c>
      <c r="F286" s="80"/>
      <c r="G286" s="24"/>
      <c r="H286" s="116">
        <v>225750</v>
      </c>
      <c r="N286" s="116">
        <v>225750</v>
      </c>
      <c r="O286" s="116"/>
      <c r="P286" s="116">
        <f t="shared" si="30"/>
        <v>225750</v>
      </c>
      <c r="Q286" s="116">
        <v>225750</v>
      </c>
      <c r="R286" s="102"/>
      <c r="S286" s="116">
        <f t="shared" si="31"/>
        <v>225750</v>
      </c>
    </row>
    <row r="287" spans="1:19" ht="34.5" customHeight="1">
      <c r="A287" s="41" t="s">
        <v>290</v>
      </c>
      <c r="B287" s="24" t="s">
        <v>116</v>
      </c>
      <c r="C287" s="24" t="s">
        <v>85</v>
      </c>
      <c r="D287" s="24" t="s">
        <v>291</v>
      </c>
      <c r="E287" s="24"/>
      <c r="F287" s="80" t="e">
        <f>F288+#REF!</f>
        <v>#REF!</v>
      </c>
      <c r="G287" s="24"/>
      <c r="H287" s="116">
        <f>H288</f>
        <v>30000000</v>
      </c>
      <c r="N287" s="116">
        <f>N288</f>
        <v>0</v>
      </c>
      <c r="O287" s="116"/>
      <c r="P287" s="116">
        <f>P288</f>
        <v>0</v>
      </c>
      <c r="Q287" s="116">
        <f>Q288</f>
        <v>0</v>
      </c>
      <c r="R287" s="102"/>
      <c r="S287" s="116">
        <f>S288</f>
        <v>0</v>
      </c>
    </row>
    <row r="288" spans="1:19" ht="47.25">
      <c r="A288" s="41" t="s">
        <v>292</v>
      </c>
      <c r="B288" s="24" t="s">
        <v>116</v>
      </c>
      <c r="C288" s="24" t="s">
        <v>85</v>
      </c>
      <c r="D288" s="24" t="s">
        <v>291</v>
      </c>
      <c r="E288" s="24" t="s">
        <v>293</v>
      </c>
      <c r="F288" s="180">
        <v>0</v>
      </c>
      <c r="G288" s="179"/>
      <c r="H288" s="182">
        <v>30000000</v>
      </c>
      <c r="I288" s="183"/>
      <c r="J288" s="183"/>
      <c r="K288" s="183"/>
      <c r="L288" s="183"/>
      <c r="M288" s="183"/>
      <c r="N288" s="116">
        <v>0</v>
      </c>
      <c r="O288" s="116"/>
      <c r="P288" s="116">
        <f t="shared" si="30"/>
        <v>0</v>
      </c>
      <c r="Q288" s="116">
        <v>0</v>
      </c>
      <c r="R288" s="102"/>
      <c r="S288" s="116">
        <f t="shared" si="31"/>
        <v>0</v>
      </c>
    </row>
    <row r="289" spans="1:19" ht="114.75" customHeight="1">
      <c r="A289" s="41" t="s">
        <v>498</v>
      </c>
      <c r="B289" s="24"/>
      <c r="C289" s="24" t="s">
        <v>85</v>
      </c>
      <c r="D289" s="24" t="s">
        <v>495</v>
      </c>
      <c r="E289" s="24"/>
      <c r="F289" s="80"/>
      <c r="G289" s="24"/>
      <c r="H289" s="116"/>
      <c r="I289" s="134"/>
      <c r="J289" s="134"/>
      <c r="K289" s="134"/>
      <c r="L289" s="134"/>
      <c r="M289" s="134"/>
      <c r="N289" s="116"/>
      <c r="O289" s="116"/>
      <c r="P289" s="116">
        <f>P290+P291</f>
        <v>52811000</v>
      </c>
      <c r="Q289" s="116"/>
      <c r="R289" s="102"/>
      <c r="S289" s="116">
        <f>S290+S291</f>
        <v>57546200</v>
      </c>
    </row>
    <row r="290" spans="1:19" ht="15.75">
      <c r="A290" s="41" t="s">
        <v>129</v>
      </c>
      <c r="B290" s="24"/>
      <c r="C290" s="24" t="s">
        <v>85</v>
      </c>
      <c r="D290" s="24" t="s">
        <v>495</v>
      </c>
      <c r="E290" s="24" t="s">
        <v>133</v>
      </c>
      <c r="F290" s="80"/>
      <c r="G290" s="24"/>
      <c r="H290" s="116"/>
      <c r="I290" s="134"/>
      <c r="J290" s="134"/>
      <c r="K290" s="134"/>
      <c r="L290" s="134"/>
      <c r="M290" s="134"/>
      <c r="N290" s="116"/>
      <c r="O290" s="116">
        <v>38416384</v>
      </c>
      <c r="P290" s="116">
        <f>O290</f>
        <v>38416384</v>
      </c>
      <c r="Q290" s="116"/>
      <c r="R290" s="102">
        <v>41858490</v>
      </c>
      <c r="S290" s="116">
        <f>R290</f>
        <v>41858490</v>
      </c>
    </row>
    <row r="291" spans="1:19" ht="63">
      <c r="A291" s="41" t="s">
        <v>496</v>
      </c>
      <c r="B291" s="24"/>
      <c r="C291" s="24" t="s">
        <v>85</v>
      </c>
      <c r="D291" s="24" t="s">
        <v>495</v>
      </c>
      <c r="E291" s="24" t="s">
        <v>145</v>
      </c>
      <c r="F291" s="80"/>
      <c r="G291" s="24"/>
      <c r="H291" s="116"/>
      <c r="I291" s="134"/>
      <c r="J291" s="134"/>
      <c r="K291" s="134"/>
      <c r="L291" s="134"/>
      <c r="M291" s="134"/>
      <c r="N291" s="116"/>
      <c r="O291" s="116">
        <v>14394616</v>
      </c>
      <c r="P291" s="116">
        <f>O291</f>
        <v>14394616</v>
      </c>
      <c r="Q291" s="116"/>
      <c r="R291" s="102">
        <v>15687710</v>
      </c>
      <c r="S291" s="116">
        <f>R291</f>
        <v>15687710</v>
      </c>
    </row>
    <row r="292" spans="1:19" ht="126">
      <c r="A292" s="41" t="s">
        <v>499</v>
      </c>
      <c r="B292" s="24"/>
      <c r="C292" s="24" t="s">
        <v>85</v>
      </c>
      <c r="D292" s="24" t="s">
        <v>497</v>
      </c>
      <c r="E292" s="24"/>
      <c r="F292" s="80"/>
      <c r="G292" s="24"/>
      <c r="H292" s="116"/>
      <c r="I292" s="134"/>
      <c r="J292" s="134"/>
      <c r="K292" s="134"/>
      <c r="L292" s="134"/>
      <c r="M292" s="134"/>
      <c r="N292" s="116"/>
      <c r="O292" s="116"/>
      <c r="P292" s="116">
        <f>P293+P294+P295</f>
        <v>1633000</v>
      </c>
      <c r="Q292" s="116"/>
      <c r="R292" s="102"/>
      <c r="S292" s="116">
        <f>S293+S294+S295</f>
        <v>1779800</v>
      </c>
    </row>
    <row r="293" spans="1:19" ht="47.25">
      <c r="A293" s="41" t="s">
        <v>131</v>
      </c>
      <c r="B293" s="24"/>
      <c r="C293" s="24" t="s">
        <v>85</v>
      </c>
      <c r="D293" s="24" t="s">
        <v>497</v>
      </c>
      <c r="E293" s="24" t="s">
        <v>135</v>
      </c>
      <c r="F293" s="80"/>
      <c r="G293" s="24"/>
      <c r="H293" s="116"/>
      <c r="I293" s="134"/>
      <c r="J293" s="134"/>
      <c r="K293" s="134"/>
      <c r="L293" s="134"/>
      <c r="M293" s="134"/>
      <c r="N293" s="116"/>
      <c r="O293" s="116">
        <v>278100</v>
      </c>
      <c r="P293" s="116">
        <f>O293</f>
        <v>278100</v>
      </c>
      <c r="Q293" s="116"/>
      <c r="R293" s="102">
        <v>302700</v>
      </c>
      <c r="S293" s="116">
        <f>R293</f>
        <v>302700</v>
      </c>
    </row>
    <row r="294" spans="1:19" ht="47.25">
      <c r="A294" s="41" t="s">
        <v>500</v>
      </c>
      <c r="B294" s="24"/>
      <c r="C294" s="24" t="s">
        <v>85</v>
      </c>
      <c r="D294" s="24" t="s">
        <v>497</v>
      </c>
      <c r="E294" s="24" t="s">
        <v>136</v>
      </c>
      <c r="F294" s="80"/>
      <c r="G294" s="24"/>
      <c r="H294" s="116"/>
      <c r="I294" s="134"/>
      <c r="J294" s="134"/>
      <c r="K294" s="134"/>
      <c r="L294" s="134"/>
      <c r="M294" s="134"/>
      <c r="N294" s="116"/>
      <c r="O294" s="116">
        <v>824400</v>
      </c>
      <c r="P294" s="116">
        <f>O294</f>
        <v>824400</v>
      </c>
      <c r="Q294" s="116"/>
      <c r="R294" s="102">
        <v>899100</v>
      </c>
      <c r="S294" s="116">
        <f>R294</f>
        <v>899100</v>
      </c>
    </row>
    <row r="295" spans="1:19" ht="78.75">
      <c r="A295" s="41" t="s">
        <v>501</v>
      </c>
      <c r="B295" s="24"/>
      <c r="C295" s="24" t="s">
        <v>85</v>
      </c>
      <c r="D295" s="24" t="s">
        <v>497</v>
      </c>
      <c r="E295" s="24" t="s">
        <v>145</v>
      </c>
      <c r="F295" s="80"/>
      <c r="G295" s="24"/>
      <c r="H295" s="116"/>
      <c r="I295" s="134"/>
      <c r="J295" s="134"/>
      <c r="K295" s="134"/>
      <c r="L295" s="134"/>
      <c r="M295" s="134"/>
      <c r="N295" s="116"/>
      <c r="O295" s="116">
        <v>530500</v>
      </c>
      <c r="P295" s="116">
        <f>O295</f>
        <v>530500</v>
      </c>
      <c r="Q295" s="116"/>
      <c r="R295" s="102">
        <v>578000</v>
      </c>
      <c r="S295" s="116">
        <f>R295</f>
        <v>578000</v>
      </c>
    </row>
    <row r="296" spans="1:19" ht="55.5" customHeight="1">
      <c r="A296" s="33" t="s">
        <v>504</v>
      </c>
      <c r="B296" s="24"/>
      <c r="C296" s="24" t="s">
        <v>85</v>
      </c>
      <c r="D296" s="24" t="s">
        <v>295</v>
      </c>
      <c r="E296" s="24"/>
      <c r="F296" s="80"/>
      <c r="G296" s="24"/>
      <c r="H296" s="116"/>
      <c r="I296" s="134"/>
      <c r="J296" s="134"/>
      <c r="K296" s="134"/>
      <c r="L296" s="134"/>
      <c r="M296" s="134"/>
      <c r="N296" s="116"/>
      <c r="O296" s="116"/>
      <c r="P296" s="116">
        <f>P297</f>
        <v>25600807</v>
      </c>
      <c r="Q296" s="116"/>
      <c r="R296" s="102"/>
      <c r="S296" s="116">
        <f>S297</f>
        <v>28391297</v>
      </c>
    </row>
    <row r="297" spans="1:19" ht="189">
      <c r="A297" s="41" t="s">
        <v>503</v>
      </c>
      <c r="B297" s="24"/>
      <c r="C297" s="24" t="s">
        <v>85</v>
      </c>
      <c r="D297" s="24" t="s">
        <v>502</v>
      </c>
      <c r="E297" s="24"/>
      <c r="F297" s="80"/>
      <c r="G297" s="24"/>
      <c r="H297" s="116"/>
      <c r="I297" s="134"/>
      <c r="J297" s="134"/>
      <c r="K297" s="134"/>
      <c r="L297" s="134"/>
      <c r="M297" s="134"/>
      <c r="N297" s="116"/>
      <c r="O297" s="116"/>
      <c r="P297" s="116">
        <f>P298</f>
        <v>25600807</v>
      </c>
      <c r="Q297" s="116"/>
      <c r="R297" s="102"/>
      <c r="S297" s="116">
        <f>S298</f>
        <v>28391297</v>
      </c>
    </row>
    <row r="298" spans="1:19" ht="15.75">
      <c r="A298" s="41" t="s">
        <v>129</v>
      </c>
      <c r="B298" s="24"/>
      <c r="C298" s="24" t="s">
        <v>85</v>
      </c>
      <c r="D298" s="24" t="s">
        <v>502</v>
      </c>
      <c r="E298" s="24" t="s">
        <v>133</v>
      </c>
      <c r="F298" s="80"/>
      <c r="G298" s="24"/>
      <c r="H298" s="116"/>
      <c r="I298" s="134"/>
      <c r="J298" s="134"/>
      <c r="K298" s="134"/>
      <c r="L298" s="134"/>
      <c r="M298" s="134"/>
      <c r="N298" s="116"/>
      <c r="O298" s="116">
        <v>25600807</v>
      </c>
      <c r="P298" s="116">
        <f>O298</f>
        <v>25600807</v>
      </c>
      <c r="Q298" s="116"/>
      <c r="R298" s="102">
        <v>28391297</v>
      </c>
      <c r="S298" s="116">
        <f>R298</f>
        <v>28391297</v>
      </c>
    </row>
    <row r="299" spans="1:19" ht="24" customHeight="1">
      <c r="A299" s="56" t="s">
        <v>71</v>
      </c>
      <c r="B299" s="24" t="s">
        <v>116</v>
      </c>
      <c r="C299" s="24" t="s">
        <v>72</v>
      </c>
      <c r="D299" s="24"/>
      <c r="E299" s="24"/>
      <c r="F299" s="80" t="e">
        <f>F300+F330+#REF!+#REF!+#REF!+#REF!+#REF!+F305</f>
        <v>#REF!</v>
      </c>
      <c r="G299" s="24"/>
      <c r="H299" s="116">
        <f>H300+H330+H336</f>
        <v>392494794</v>
      </c>
      <c r="N299" s="116">
        <f>N300+N330+N336</f>
        <v>415378894</v>
      </c>
      <c r="O299" s="116"/>
      <c r="P299" s="116">
        <f>P300+P330+P336</f>
        <v>389778087</v>
      </c>
      <c r="Q299" s="116">
        <f>Q300+Q330+Q336</f>
        <v>445309579</v>
      </c>
      <c r="R299" s="102"/>
      <c r="S299" s="116">
        <f>S300+S330+S336</f>
        <v>416918282</v>
      </c>
    </row>
    <row r="300" spans="1:19" ht="51" customHeight="1">
      <c r="A300" s="41" t="s">
        <v>294</v>
      </c>
      <c r="B300" s="24" t="s">
        <v>116</v>
      </c>
      <c r="C300" s="24" t="s">
        <v>72</v>
      </c>
      <c r="D300" s="24" t="s">
        <v>295</v>
      </c>
      <c r="E300" s="24"/>
      <c r="F300" s="80" t="e">
        <f>F302+#REF!+F303+F304+#REF!+#REF!</f>
        <v>#REF!</v>
      </c>
      <c r="G300" s="24"/>
      <c r="H300" s="116">
        <f>H301+H305+H307+H310+H317+H319+H321</f>
        <v>369797954</v>
      </c>
      <c r="N300" s="116">
        <f>N301+N305+N307+N310+N317+N319+N321+U326</f>
        <v>392682054</v>
      </c>
      <c r="O300" s="116"/>
      <c r="P300" s="116">
        <f>P301+P305+P307+P310+P317+P319+P321+P323+P326</f>
        <v>367081247</v>
      </c>
      <c r="Q300" s="116">
        <f>Q301+Q305+Q307+Q310+Q317+Q319+Q321</f>
        <v>422612739</v>
      </c>
      <c r="R300" s="102"/>
      <c r="S300" s="116">
        <f>S301+S305+S307+S310+S317+S319+S321+S323+S326</f>
        <v>394221442</v>
      </c>
    </row>
    <row r="301" spans="1:19" ht="20.25" customHeight="1">
      <c r="A301" s="33" t="s">
        <v>296</v>
      </c>
      <c r="B301" s="24" t="s">
        <v>116</v>
      </c>
      <c r="C301" s="24" t="s">
        <v>72</v>
      </c>
      <c r="D301" s="24" t="s">
        <v>297</v>
      </c>
      <c r="E301" s="24"/>
      <c r="F301" s="80"/>
      <c r="G301" s="24"/>
      <c r="H301" s="116">
        <f>H302+H303+H304</f>
        <v>233891000</v>
      </c>
      <c r="N301" s="124">
        <f>N302+N303+N304</f>
        <v>260071000</v>
      </c>
      <c r="O301" s="124"/>
      <c r="P301" s="124">
        <f>P302+P303+P304</f>
        <v>0</v>
      </c>
      <c r="Q301" s="124">
        <v>288442000</v>
      </c>
      <c r="R301" s="102"/>
      <c r="S301" s="124">
        <f>S302+S303+S304</f>
        <v>0</v>
      </c>
    </row>
    <row r="302" spans="1:19" ht="20.25" customHeight="1">
      <c r="A302" s="41" t="s">
        <v>129</v>
      </c>
      <c r="B302" s="24" t="s">
        <v>116</v>
      </c>
      <c r="C302" s="24" t="s">
        <v>72</v>
      </c>
      <c r="D302" s="24" t="s">
        <v>297</v>
      </c>
      <c r="E302" s="24" t="s">
        <v>133</v>
      </c>
      <c r="F302" s="80">
        <v>0</v>
      </c>
      <c r="G302" s="47">
        <v>1474467</v>
      </c>
      <c r="H302" s="116">
        <v>229432000</v>
      </c>
      <c r="N302" s="124">
        <v>254870000</v>
      </c>
      <c r="O302" s="124">
        <v>-254870000</v>
      </c>
      <c r="P302" s="116">
        <f aca="true" t="shared" si="32" ref="P302:P322">N302+O302</f>
        <v>0</v>
      </c>
      <c r="Q302" s="124">
        <v>282670000</v>
      </c>
      <c r="R302" s="102">
        <v>-282670000</v>
      </c>
      <c r="S302" s="116">
        <f aca="true" t="shared" si="33" ref="S302:S322">Q302+R302</f>
        <v>0</v>
      </c>
    </row>
    <row r="303" spans="1:19" ht="20.25" customHeight="1">
      <c r="A303" s="41" t="s">
        <v>131</v>
      </c>
      <c r="B303" s="24" t="s">
        <v>116</v>
      </c>
      <c r="C303" s="24" t="s">
        <v>72</v>
      </c>
      <c r="D303" s="24" t="s">
        <v>297</v>
      </c>
      <c r="E303" s="24" t="s">
        <v>135</v>
      </c>
      <c r="F303" s="80">
        <v>0</v>
      </c>
      <c r="G303" s="47">
        <v>1284127</v>
      </c>
      <c r="H303" s="116">
        <v>1600000</v>
      </c>
      <c r="N303" s="124">
        <v>2080000</v>
      </c>
      <c r="O303" s="124">
        <v>-2080000</v>
      </c>
      <c r="P303" s="116">
        <f t="shared" si="32"/>
        <v>0</v>
      </c>
      <c r="Q303" s="124">
        <v>2307000</v>
      </c>
      <c r="R303" s="102">
        <v>-2307000</v>
      </c>
      <c r="S303" s="116">
        <f t="shared" si="33"/>
        <v>0</v>
      </c>
    </row>
    <row r="304" spans="1:19" ht="38.25" customHeight="1">
      <c r="A304" s="41" t="s">
        <v>161</v>
      </c>
      <c r="B304" s="24" t="s">
        <v>116</v>
      </c>
      <c r="C304" s="24" t="s">
        <v>72</v>
      </c>
      <c r="D304" s="24" t="s">
        <v>297</v>
      </c>
      <c r="E304" s="24" t="s">
        <v>136</v>
      </c>
      <c r="F304" s="80">
        <v>0</v>
      </c>
      <c r="G304" s="47">
        <v>48946218</v>
      </c>
      <c r="H304" s="116">
        <v>2859000</v>
      </c>
      <c r="N304" s="124">
        <v>3121000</v>
      </c>
      <c r="O304" s="124">
        <v>-3121000</v>
      </c>
      <c r="P304" s="116">
        <f t="shared" si="32"/>
        <v>0</v>
      </c>
      <c r="Q304" s="124">
        <v>3465000</v>
      </c>
      <c r="R304" s="102">
        <v>-3465000</v>
      </c>
      <c r="S304" s="116">
        <f t="shared" si="33"/>
        <v>0</v>
      </c>
    </row>
    <row r="305" spans="1:19" ht="66.75" customHeight="1">
      <c r="A305" s="33" t="s">
        <v>298</v>
      </c>
      <c r="B305" s="24" t="s">
        <v>116</v>
      </c>
      <c r="C305" s="24" t="s">
        <v>72</v>
      </c>
      <c r="D305" s="24" t="s">
        <v>299</v>
      </c>
      <c r="E305" s="24"/>
      <c r="F305" s="80">
        <f>F306</f>
        <v>0</v>
      </c>
      <c r="G305" s="47"/>
      <c r="H305" s="116">
        <f>H306</f>
        <v>12622000</v>
      </c>
      <c r="N305" s="124">
        <f>N306</f>
        <v>13215000</v>
      </c>
      <c r="O305" s="124"/>
      <c r="P305" s="124">
        <f>P306</f>
        <v>13215000</v>
      </c>
      <c r="Q305" s="124">
        <f>Q306</f>
        <v>13837000</v>
      </c>
      <c r="R305" s="102"/>
      <c r="S305" s="124">
        <f>S306</f>
        <v>13837000</v>
      </c>
    </row>
    <row r="306" spans="1:19" ht="33.75" customHeight="1">
      <c r="A306" s="41" t="s">
        <v>161</v>
      </c>
      <c r="B306" s="24" t="s">
        <v>116</v>
      </c>
      <c r="C306" s="24" t="s">
        <v>72</v>
      </c>
      <c r="D306" s="24" t="s">
        <v>299</v>
      </c>
      <c r="E306" s="24" t="s">
        <v>136</v>
      </c>
      <c r="F306" s="80">
        <v>0</v>
      </c>
      <c r="G306" s="47">
        <v>2188296</v>
      </c>
      <c r="H306" s="116">
        <v>12622000</v>
      </c>
      <c r="N306" s="124">
        <v>13215000</v>
      </c>
      <c r="O306" s="124"/>
      <c r="P306" s="116">
        <f t="shared" si="32"/>
        <v>13215000</v>
      </c>
      <c r="Q306" s="124">
        <v>13837000</v>
      </c>
      <c r="R306" s="102"/>
      <c r="S306" s="116">
        <f t="shared" si="33"/>
        <v>13837000</v>
      </c>
    </row>
    <row r="307" spans="1:19" ht="48.75" customHeight="1">
      <c r="A307" s="57" t="s">
        <v>300</v>
      </c>
      <c r="B307" s="24" t="s">
        <v>116</v>
      </c>
      <c r="C307" s="24" t="s">
        <v>72</v>
      </c>
      <c r="D307" s="24" t="s">
        <v>301</v>
      </c>
      <c r="E307" s="24"/>
      <c r="F307" s="80"/>
      <c r="G307" s="47"/>
      <c r="H307" s="116">
        <f>H308+H309</f>
        <v>600000</v>
      </c>
      <c r="N307" s="116">
        <f>N308+N309</f>
        <v>600000</v>
      </c>
      <c r="O307" s="116"/>
      <c r="P307" s="116">
        <f>P308+P309</f>
        <v>600000</v>
      </c>
      <c r="Q307" s="116">
        <f>Q308+Q309</f>
        <v>600000</v>
      </c>
      <c r="R307" s="102"/>
      <c r="S307" s="116">
        <f>S308+S309</f>
        <v>600000</v>
      </c>
    </row>
    <row r="308" spans="1:19" ht="39.75" customHeight="1">
      <c r="A308" s="41" t="s">
        <v>161</v>
      </c>
      <c r="B308" s="24" t="s">
        <v>116</v>
      </c>
      <c r="C308" s="24" t="s">
        <v>72</v>
      </c>
      <c r="D308" s="24" t="s">
        <v>301</v>
      </c>
      <c r="E308" s="24" t="s">
        <v>136</v>
      </c>
      <c r="F308" s="80"/>
      <c r="G308" s="47"/>
      <c r="H308" s="116">
        <v>378750</v>
      </c>
      <c r="N308" s="116">
        <v>378750</v>
      </c>
      <c r="O308" s="116"/>
      <c r="P308" s="116">
        <f t="shared" si="32"/>
        <v>378750</v>
      </c>
      <c r="Q308" s="116">
        <v>378750</v>
      </c>
      <c r="R308" s="102"/>
      <c r="S308" s="116">
        <f t="shared" si="33"/>
        <v>378750</v>
      </c>
    </row>
    <row r="309" spans="1:19" ht="21.75" customHeight="1">
      <c r="A309" s="41" t="s">
        <v>302</v>
      </c>
      <c r="B309" s="24" t="s">
        <v>116</v>
      </c>
      <c r="C309" s="24" t="s">
        <v>72</v>
      </c>
      <c r="D309" s="24" t="s">
        <v>301</v>
      </c>
      <c r="E309" s="24" t="s">
        <v>303</v>
      </c>
      <c r="F309" s="80"/>
      <c r="G309" s="47"/>
      <c r="H309" s="116">
        <v>221250</v>
      </c>
      <c r="N309" s="116">
        <v>221250</v>
      </c>
      <c r="O309" s="116"/>
      <c r="P309" s="116">
        <f t="shared" si="32"/>
        <v>221250</v>
      </c>
      <c r="Q309" s="116">
        <v>221250</v>
      </c>
      <c r="R309" s="102"/>
      <c r="S309" s="116">
        <f t="shared" si="33"/>
        <v>221250</v>
      </c>
    </row>
    <row r="310" spans="1:19" ht="48" customHeight="1">
      <c r="A310" s="33" t="s">
        <v>304</v>
      </c>
      <c r="B310" s="24" t="s">
        <v>116</v>
      </c>
      <c r="C310" s="24" t="s">
        <v>72</v>
      </c>
      <c r="D310" s="24" t="s">
        <v>305</v>
      </c>
      <c r="E310" s="24"/>
      <c r="F310" s="80"/>
      <c r="G310" s="47"/>
      <c r="H310" s="116">
        <f>H311+H312+H313+H314+H315+H316</f>
        <v>97958690</v>
      </c>
      <c r="N310" s="116">
        <f>N311+N312+N313+N314+N315+N316</f>
        <v>94069790</v>
      </c>
      <c r="O310" s="116"/>
      <c r="P310" s="116">
        <f>P311+P312+P313+P314+P315+P316</f>
        <v>94069790</v>
      </c>
      <c r="Q310" s="116">
        <f>Q311+Q312+Q313+Q314+Q315+Q316</f>
        <v>95007475</v>
      </c>
      <c r="R310" s="102"/>
      <c r="S310" s="116">
        <f>S311+S312+S313+S314+S315+S316</f>
        <v>95007475</v>
      </c>
    </row>
    <row r="311" spans="1:19" ht="21" customHeight="1">
      <c r="A311" s="41" t="s">
        <v>129</v>
      </c>
      <c r="B311" s="24" t="s">
        <v>116</v>
      </c>
      <c r="C311" s="24" t="s">
        <v>72</v>
      </c>
      <c r="D311" s="24" t="s">
        <v>305</v>
      </c>
      <c r="E311" s="24" t="s">
        <v>133</v>
      </c>
      <c r="F311" s="80"/>
      <c r="G311" s="47"/>
      <c r="H311" s="116">
        <v>56612522</v>
      </c>
      <c r="N311" s="116">
        <v>56612522</v>
      </c>
      <c r="O311" s="116"/>
      <c r="P311" s="116">
        <f t="shared" si="32"/>
        <v>56612522</v>
      </c>
      <c r="Q311" s="116">
        <v>56612522</v>
      </c>
      <c r="R311" s="102"/>
      <c r="S311" s="116">
        <f t="shared" si="33"/>
        <v>56612522</v>
      </c>
    </row>
    <row r="312" spans="1:19" ht="33.75" customHeight="1">
      <c r="A312" s="41" t="s">
        <v>130</v>
      </c>
      <c r="B312" s="24" t="s">
        <v>116</v>
      </c>
      <c r="C312" s="24" t="s">
        <v>72</v>
      </c>
      <c r="D312" s="24" t="s">
        <v>305</v>
      </c>
      <c r="E312" s="24" t="s">
        <v>134</v>
      </c>
      <c r="F312" s="80"/>
      <c r="G312" s="47"/>
      <c r="H312" s="116">
        <v>13490</v>
      </c>
      <c r="N312" s="116">
        <v>13490</v>
      </c>
      <c r="O312" s="116"/>
      <c r="P312" s="116">
        <f t="shared" si="32"/>
        <v>13490</v>
      </c>
      <c r="Q312" s="116">
        <v>13490</v>
      </c>
      <c r="R312" s="102"/>
      <c r="S312" s="116">
        <f t="shared" si="33"/>
        <v>13490</v>
      </c>
    </row>
    <row r="313" spans="1:19" ht="36" customHeight="1">
      <c r="A313" s="41" t="s">
        <v>131</v>
      </c>
      <c r="B313" s="24" t="s">
        <v>116</v>
      </c>
      <c r="C313" s="24" t="s">
        <v>72</v>
      </c>
      <c r="D313" s="24" t="s">
        <v>305</v>
      </c>
      <c r="E313" s="24" t="s">
        <v>135</v>
      </c>
      <c r="F313" s="80"/>
      <c r="G313" s="47"/>
      <c r="H313" s="116">
        <v>475356</v>
      </c>
      <c r="N313" s="116">
        <v>475356</v>
      </c>
      <c r="O313" s="116"/>
      <c r="P313" s="116">
        <f t="shared" si="32"/>
        <v>475356</v>
      </c>
      <c r="Q313" s="116">
        <v>475356</v>
      </c>
      <c r="R313" s="102"/>
      <c r="S313" s="116">
        <f t="shared" si="33"/>
        <v>475356</v>
      </c>
    </row>
    <row r="314" spans="1:19" ht="36" customHeight="1">
      <c r="A314" s="132" t="s">
        <v>306</v>
      </c>
      <c r="B314" s="24" t="s">
        <v>116</v>
      </c>
      <c r="C314" s="24" t="s">
        <v>72</v>
      </c>
      <c r="D314" s="24" t="s">
        <v>305</v>
      </c>
      <c r="E314" s="24" t="s">
        <v>138</v>
      </c>
      <c r="F314" s="80"/>
      <c r="G314" s="47"/>
      <c r="H314" s="116">
        <v>50000</v>
      </c>
      <c r="N314" s="116">
        <v>50000</v>
      </c>
      <c r="O314" s="116"/>
      <c r="P314" s="116">
        <f t="shared" si="32"/>
        <v>50000</v>
      </c>
      <c r="Q314" s="116">
        <v>50000</v>
      </c>
      <c r="R314" s="102"/>
      <c r="S314" s="116">
        <f t="shared" si="33"/>
        <v>50000</v>
      </c>
    </row>
    <row r="315" spans="1:19" ht="37.5" customHeight="1">
      <c r="A315" s="41" t="s">
        <v>161</v>
      </c>
      <c r="B315" s="24" t="s">
        <v>116</v>
      </c>
      <c r="C315" s="24" t="s">
        <v>72</v>
      </c>
      <c r="D315" s="24" t="s">
        <v>305</v>
      </c>
      <c r="E315" s="24" t="s">
        <v>136</v>
      </c>
      <c r="F315" s="180"/>
      <c r="G315" s="184"/>
      <c r="H315" s="182">
        <v>40801322</v>
      </c>
      <c r="I315" s="183"/>
      <c r="J315" s="183"/>
      <c r="K315" s="183"/>
      <c r="L315" s="183"/>
      <c r="M315" s="183"/>
      <c r="N315" s="116">
        <v>36912422</v>
      </c>
      <c r="O315" s="116"/>
      <c r="P315" s="116">
        <f t="shared" si="32"/>
        <v>36912422</v>
      </c>
      <c r="Q315" s="116">
        <v>37850107</v>
      </c>
      <c r="R315" s="102"/>
      <c r="S315" s="116">
        <f t="shared" si="33"/>
        <v>37850107</v>
      </c>
    </row>
    <row r="316" spans="1:19" ht="19.5" customHeight="1">
      <c r="A316" s="92" t="s">
        <v>148</v>
      </c>
      <c r="B316" s="24" t="s">
        <v>116</v>
      </c>
      <c r="C316" s="24" t="s">
        <v>72</v>
      </c>
      <c r="D316" s="24" t="s">
        <v>305</v>
      </c>
      <c r="E316" s="24" t="s">
        <v>137</v>
      </c>
      <c r="F316" s="80"/>
      <c r="G316" s="47"/>
      <c r="H316" s="116">
        <v>6000</v>
      </c>
      <c r="N316" s="116">
        <v>6000</v>
      </c>
      <c r="O316" s="116"/>
      <c r="P316" s="116">
        <f t="shared" si="32"/>
        <v>6000</v>
      </c>
      <c r="Q316" s="116">
        <v>6000</v>
      </c>
      <c r="R316" s="102"/>
      <c r="S316" s="116">
        <f t="shared" si="33"/>
        <v>6000</v>
      </c>
    </row>
    <row r="317" spans="1:19" ht="48" customHeight="1">
      <c r="A317" s="33" t="s">
        <v>307</v>
      </c>
      <c r="B317" s="24" t="s">
        <v>116</v>
      </c>
      <c r="C317" s="24" t="s">
        <v>72</v>
      </c>
      <c r="D317" s="24" t="s">
        <v>308</v>
      </c>
      <c r="E317" s="24"/>
      <c r="F317" s="80"/>
      <c r="G317" s="47"/>
      <c r="H317" s="116">
        <f>H318</f>
        <v>22391349</v>
      </c>
      <c r="N317" s="116">
        <f>N318</f>
        <v>22391349</v>
      </c>
      <c r="O317" s="116"/>
      <c r="P317" s="116">
        <f>P318</f>
        <v>22391349</v>
      </c>
      <c r="Q317" s="116">
        <f>Q318</f>
        <v>22391349</v>
      </c>
      <c r="R317" s="102"/>
      <c r="S317" s="116">
        <f>S318</f>
        <v>22391349</v>
      </c>
    </row>
    <row r="318" spans="1:19" ht="39" customHeight="1">
      <c r="A318" s="133" t="s">
        <v>309</v>
      </c>
      <c r="B318" s="24" t="s">
        <v>116</v>
      </c>
      <c r="C318" s="24" t="s">
        <v>72</v>
      </c>
      <c r="D318" s="24" t="s">
        <v>308</v>
      </c>
      <c r="E318" s="24" t="s">
        <v>310</v>
      </c>
      <c r="F318" s="80"/>
      <c r="G318" s="47"/>
      <c r="H318" s="116">
        <v>22391349</v>
      </c>
      <c r="N318" s="116">
        <v>22391349</v>
      </c>
      <c r="O318" s="116"/>
      <c r="P318" s="116">
        <f t="shared" si="32"/>
        <v>22391349</v>
      </c>
      <c r="Q318" s="116">
        <v>22391349</v>
      </c>
      <c r="R318" s="102"/>
      <c r="S318" s="116">
        <f t="shared" si="33"/>
        <v>22391349</v>
      </c>
    </row>
    <row r="319" spans="1:19" ht="48" customHeight="1">
      <c r="A319" s="33" t="s">
        <v>311</v>
      </c>
      <c r="B319" s="24" t="s">
        <v>116</v>
      </c>
      <c r="C319" s="24" t="s">
        <v>72</v>
      </c>
      <c r="D319" s="24" t="s">
        <v>312</v>
      </c>
      <c r="E319" s="24"/>
      <c r="F319" s="80"/>
      <c r="G319" s="47"/>
      <c r="H319" s="116">
        <f>H320</f>
        <v>2259915</v>
      </c>
      <c r="N319" s="116">
        <f>N320</f>
        <v>2259915</v>
      </c>
      <c r="O319" s="116"/>
      <c r="P319" s="116">
        <f>P320</f>
        <v>2259915</v>
      </c>
      <c r="Q319" s="116">
        <f>Q320</f>
        <v>2259915</v>
      </c>
      <c r="R319" s="102"/>
      <c r="S319" s="116">
        <f>S320</f>
        <v>2259915</v>
      </c>
    </row>
    <row r="320" spans="1:19" ht="30" customHeight="1">
      <c r="A320" s="41" t="s">
        <v>161</v>
      </c>
      <c r="B320" s="24" t="s">
        <v>116</v>
      </c>
      <c r="C320" s="24" t="s">
        <v>72</v>
      </c>
      <c r="D320" s="24" t="s">
        <v>312</v>
      </c>
      <c r="E320" s="24" t="s">
        <v>136</v>
      </c>
      <c r="F320" s="80"/>
      <c r="G320" s="47"/>
      <c r="H320" s="116">
        <v>2259915</v>
      </c>
      <c r="N320" s="116">
        <v>2259915</v>
      </c>
      <c r="O320" s="116"/>
      <c r="P320" s="116">
        <f t="shared" si="32"/>
        <v>2259915</v>
      </c>
      <c r="Q320" s="116">
        <v>2259915</v>
      </c>
      <c r="R320" s="102"/>
      <c r="S320" s="116">
        <f t="shared" si="33"/>
        <v>2259915</v>
      </c>
    </row>
    <row r="321" spans="1:19" ht="32.25" customHeight="1">
      <c r="A321" s="33" t="s">
        <v>313</v>
      </c>
      <c r="B321" s="24" t="s">
        <v>116</v>
      </c>
      <c r="C321" s="24" t="s">
        <v>72</v>
      </c>
      <c r="D321" s="24" t="s">
        <v>314</v>
      </c>
      <c r="E321" s="24"/>
      <c r="F321" s="80"/>
      <c r="G321" s="47"/>
      <c r="H321" s="116">
        <f>H322</f>
        <v>75000</v>
      </c>
      <c r="N321" s="116">
        <f>N322</f>
        <v>75000</v>
      </c>
      <c r="O321" s="116"/>
      <c r="P321" s="116">
        <f>P322</f>
        <v>75000</v>
      </c>
      <c r="Q321" s="116">
        <f>Q322</f>
        <v>75000</v>
      </c>
      <c r="R321" s="102"/>
      <c r="S321" s="116">
        <f>S322</f>
        <v>75000</v>
      </c>
    </row>
    <row r="322" spans="1:19" ht="35.25" customHeight="1">
      <c r="A322" s="41" t="s">
        <v>161</v>
      </c>
      <c r="B322" s="24" t="s">
        <v>116</v>
      </c>
      <c r="C322" s="24" t="s">
        <v>72</v>
      </c>
      <c r="D322" s="24" t="s">
        <v>314</v>
      </c>
      <c r="E322" s="24" t="s">
        <v>136</v>
      </c>
      <c r="F322" s="80"/>
      <c r="G322" s="47"/>
      <c r="H322" s="116">
        <v>75000</v>
      </c>
      <c r="N322" s="116">
        <v>75000</v>
      </c>
      <c r="O322" s="116"/>
      <c r="P322" s="116">
        <f t="shared" si="32"/>
        <v>75000</v>
      </c>
      <c r="Q322" s="116">
        <v>75000</v>
      </c>
      <c r="R322" s="102"/>
      <c r="S322" s="116">
        <f t="shared" si="33"/>
        <v>75000</v>
      </c>
    </row>
    <row r="323" spans="1:19" ht="183.75" customHeight="1">
      <c r="A323" s="41" t="s">
        <v>503</v>
      </c>
      <c r="B323" s="24"/>
      <c r="C323" s="24" t="s">
        <v>72</v>
      </c>
      <c r="D323" s="24" t="s">
        <v>502</v>
      </c>
      <c r="E323" s="24"/>
      <c r="F323" s="80"/>
      <c r="G323" s="47"/>
      <c r="H323" s="116"/>
      <c r="N323" s="116"/>
      <c r="O323" s="116"/>
      <c r="P323" s="116">
        <f>P324+P325</f>
        <v>229269193</v>
      </c>
      <c r="Q323" s="116"/>
      <c r="R323" s="102"/>
      <c r="S323" s="116">
        <f>S324+S325</f>
        <v>254278703</v>
      </c>
    </row>
    <row r="324" spans="1:19" ht="22.5" customHeight="1">
      <c r="A324" s="41" t="s">
        <v>129</v>
      </c>
      <c r="B324" s="24"/>
      <c r="C324" s="24" t="s">
        <v>72</v>
      </c>
      <c r="D324" s="24" t="s">
        <v>502</v>
      </c>
      <c r="E324" s="24" t="s">
        <v>133</v>
      </c>
      <c r="F324" s="80"/>
      <c r="G324" s="47"/>
      <c r="H324" s="116"/>
      <c r="N324" s="116"/>
      <c r="O324" s="116">
        <v>176931624</v>
      </c>
      <c r="P324" s="116">
        <f>O324</f>
        <v>176931624</v>
      </c>
      <c r="Q324" s="116"/>
      <c r="R324" s="102">
        <v>196216999</v>
      </c>
      <c r="S324" s="116">
        <f>R324</f>
        <v>196216999</v>
      </c>
    </row>
    <row r="325" spans="1:19" ht="35.25" customHeight="1">
      <c r="A325" s="133" t="s">
        <v>309</v>
      </c>
      <c r="B325" s="24"/>
      <c r="C325" s="24" t="s">
        <v>72</v>
      </c>
      <c r="D325" s="24" t="s">
        <v>502</v>
      </c>
      <c r="E325" s="24" t="s">
        <v>310</v>
      </c>
      <c r="F325" s="80"/>
      <c r="G325" s="47"/>
      <c r="H325" s="116"/>
      <c r="N325" s="116"/>
      <c r="O325" s="116">
        <v>52337569</v>
      </c>
      <c r="P325" s="116">
        <f>O325</f>
        <v>52337569</v>
      </c>
      <c r="Q325" s="116"/>
      <c r="R325" s="102">
        <v>58061704</v>
      </c>
      <c r="S325" s="116">
        <f>R325</f>
        <v>58061704</v>
      </c>
    </row>
    <row r="326" spans="1:19" ht="190.5" customHeight="1">
      <c r="A326" s="41" t="s">
        <v>506</v>
      </c>
      <c r="B326" s="24"/>
      <c r="C326" s="24" t="s">
        <v>72</v>
      </c>
      <c r="D326" s="24" t="s">
        <v>505</v>
      </c>
      <c r="E326" s="24"/>
      <c r="F326" s="80"/>
      <c r="G326" s="47"/>
      <c r="H326" s="116"/>
      <c r="N326" s="116"/>
      <c r="O326" s="116"/>
      <c r="P326" s="116">
        <f>P327+P328+P329</f>
        <v>5201000</v>
      </c>
      <c r="Q326" s="116"/>
      <c r="R326" s="102"/>
      <c r="S326" s="116">
        <f>S327+S328+S329</f>
        <v>5772000</v>
      </c>
    </row>
    <row r="327" spans="1:19" ht="35.25" customHeight="1">
      <c r="A327" s="41" t="s">
        <v>131</v>
      </c>
      <c r="B327" s="24"/>
      <c r="C327" s="24" t="s">
        <v>72</v>
      </c>
      <c r="D327" s="24" t="s">
        <v>505</v>
      </c>
      <c r="E327" s="24" t="s">
        <v>135</v>
      </c>
      <c r="F327" s="80"/>
      <c r="G327" s="47"/>
      <c r="H327" s="116"/>
      <c r="N327" s="116"/>
      <c r="O327" s="116">
        <v>1258199</v>
      </c>
      <c r="P327" s="116">
        <f>O327</f>
        <v>1258199</v>
      </c>
      <c r="Q327" s="116"/>
      <c r="R327" s="102">
        <v>1395338</v>
      </c>
      <c r="S327" s="116">
        <f>R327</f>
        <v>1395338</v>
      </c>
    </row>
    <row r="328" spans="1:19" ht="35.25" customHeight="1">
      <c r="A328" s="41" t="s">
        <v>161</v>
      </c>
      <c r="B328" s="24"/>
      <c r="C328" s="24" t="s">
        <v>72</v>
      </c>
      <c r="D328" s="24" t="s">
        <v>505</v>
      </c>
      <c r="E328" s="24" t="s">
        <v>136</v>
      </c>
      <c r="F328" s="80"/>
      <c r="G328" s="47"/>
      <c r="H328" s="116"/>
      <c r="N328" s="116"/>
      <c r="O328" s="116">
        <v>2425945</v>
      </c>
      <c r="P328" s="116">
        <f>O328</f>
        <v>2425945</v>
      </c>
      <c r="Q328" s="116"/>
      <c r="R328" s="102">
        <v>2690282</v>
      </c>
      <c r="S328" s="116">
        <f>R328</f>
        <v>2690282</v>
      </c>
    </row>
    <row r="329" spans="1:19" ht="35.25" customHeight="1">
      <c r="A329" s="133" t="s">
        <v>309</v>
      </c>
      <c r="B329" s="24"/>
      <c r="C329" s="24" t="s">
        <v>72</v>
      </c>
      <c r="D329" s="24" t="s">
        <v>505</v>
      </c>
      <c r="E329" s="24" t="s">
        <v>310</v>
      </c>
      <c r="F329" s="80"/>
      <c r="G329" s="47"/>
      <c r="H329" s="116"/>
      <c r="N329" s="116"/>
      <c r="O329" s="116">
        <v>1516856</v>
      </c>
      <c r="P329" s="116">
        <f>O329</f>
        <v>1516856</v>
      </c>
      <c r="Q329" s="116"/>
      <c r="R329" s="102">
        <v>1686380</v>
      </c>
      <c r="S329" s="116">
        <f>R329</f>
        <v>1686380</v>
      </c>
    </row>
    <row r="330" spans="1:19" ht="49.5" customHeight="1">
      <c r="A330" s="41" t="s">
        <v>315</v>
      </c>
      <c r="B330" s="24" t="s">
        <v>116</v>
      </c>
      <c r="C330" s="24" t="s">
        <v>72</v>
      </c>
      <c r="D330" s="24" t="s">
        <v>316</v>
      </c>
      <c r="E330" s="24"/>
      <c r="F330" s="80" t="e">
        <f>F332+#REF!+F333+F334+F335</f>
        <v>#REF!</v>
      </c>
      <c r="G330" s="24"/>
      <c r="H330" s="116">
        <f>H331</f>
        <v>17632640</v>
      </c>
      <c r="N330" s="116">
        <f>N331</f>
        <v>17632640</v>
      </c>
      <c r="O330" s="116"/>
      <c r="P330" s="116">
        <f>P331</f>
        <v>17632640</v>
      </c>
      <c r="Q330" s="116">
        <f>Q331</f>
        <v>17632640</v>
      </c>
      <c r="R330" s="102"/>
      <c r="S330" s="116">
        <f>S331</f>
        <v>17632640</v>
      </c>
    </row>
    <row r="331" spans="1:19" ht="48.75" customHeight="1">
      <c r="A331" s="33" t="s">
        <v>317</v>
      </c>
      <c r="B331" s="24" t="s">
        <v>116</v>
      </c>
      <c r="C331" s="24" t="s">
        <v>72</v>
      </c>
      <c r="D331" s="24" t="s">
        <v>318</v>
      </c>
      <c r="E331" s="24"/>
      <c r="F331" s="80"/>
      <c r="G331" s="24"/>
      <c r="H331" s="116">
        <f>H332+H333+H334+H335</f>
        <v>17632640</v>
      </c>
      <c r="N331" s="116">
        <f>N332+N333+N334+N335</f>
        <v>17632640</v>
      </c>
      <c r="O331" s="116"/>
      <c r="P331" s="116">
        <f>P332+P333+P334+P335</f>
        <v>17632640</v>
      </c>
      <c r="Q331" s="116">
        <f>Q332+Q333+Q334+Q335</f>
        <v>17632640</v>
      </c>
      <c r="R331" s="102"/>
      <c r="S331" s="116">
        <f>S332+S333+S334+S335</f>
        <v>17632640</v>
      </c>
    </row>
    <row r="332" spans="1:19" ht="19.5" customHeight="1">
      <c r="A332" s="41" t="s">
        <v>129</v>
      </c>
      <c r="B332" s="24" t="s">
        <v>116</v>
      </c>
      <c r="C332" s="24" t="s">
        <v>72</v>
      </c>
      <c r="D332" s="24" t="s">
        <v>318</v>
      </c>
      <c r="E332" s="24" t="s">
        <v>133</v>
      </c>
      <c r="F332" s="80">
        <v>0</v>
      </c>
      <c r="G332" s="47">
        <v>14730288</v>
      </c>
      <c r="H332" s="116">
        <v>16229463</v>
      </c>
      <c r="N332" s="116">
        <v>16229463</v>
      </c>
      <c r="O332" s="116"/>
      <c r="P332" s="116">
        <f>N332+O332</f>
        <v>16229463</v>
      </c>
      <c r="Q332" s="116">
        <v>16229463</v>
      </c>
      <c r="R332" s="102"/>
      <c r="S332" s="116">
        <f>Q332+R332</f>
        <v>16229463</v>
      </c>
    </row>
    <row r="333" spans="1:19" ht="38.25" customHeight="1">
      <c r="A333" s="41" t="s">
        <v>131</v>
      </c>
      <c r="B333" s="24" t="s">
        <v>116</v>
      </c>
      <c r="C333" s="24" t="s">
        <v>72</v>
      </c>
      <c r="D333" s="24" t="s">
        <v>318</v>
      </c>
      <c r="E333" s="24" t="s">
        <v>135</v>
      </c>
      <c r="F333" s="80">
        <v>0</v>
      </c>
      <c r="G333" s="47">
        <v>126639</v>
      </c>
      <c r="H333" s="116">
        <v>136042</v>
      </c>
      <c r="N333" s="116">
        <v>136042</v>
      </c>
      <c r="O333" s="116"/>
      <c r="P333" s="116">
        <f>N333+O333</f>
        <v>136042</v>
      </c>
      <c r="Q333" s="116">
        <v>136042</v>
      </c>
      <c r="R333" s="102"/>
      <c r="S333" s="116">
        <f>Q333+R333</f>
        <v>136042</v>
      </c>
    </row>
    <row r="334" spans="1:19" ht="36.75" customHeight="1">
      <c r="A334" s="41" t="s">
        <v>161</v>
      </c>
      <c r="B334" s="24" t="s">
        <v>116</v>
      </c>
      <c r="C334" s="24" t="s">
        <v>72</v>
      </c>
      <c r="D334" s="24" t="s">
        <v>318</v>
      </c>
      <c r="E334" s="24" t="s">
        <v>136</v>
      </c>
      <c r="F334" s="80">
        <v>0</v>
      </c>
      <c r="G334" s="47">
        <v>1326708</v>
      </c>
      <c r="H334" s="116">
        <v>1137135</v>
      </c>
      <c r="N334" s="116">
        <v>1137135</v>
      </c>
      <c r="O334" s="116"/>
      <c r="P334" s="116">
        <f>N334+O334</f>
        <v>1137135</v>
      </c>
      <c r="Q334" s="116">
        <v>1137135</v>
      </c>
      <c r="R334" s="102"/>
      <c r="S334" s="116">
        <f>Q334+R334</f>
        <v>1137135</v>
      </c>
    </row>
    <row r="335" spans="1:19" ht="21" customHeight="1">
      <c r="A335" s="41" t="s">
        <v>140</v>
      </c>
      <c r="B335" s="24" t="s">
        <v>116</v>
      </c>
      <c r="C335" s="24" t="s">
        <v>72</v>
      </c>
      <c r="D335" s="24" t="s">
        <v>318</v>
      </c>
      <c r="E335" s="24" t="s">
        <v>141</v>
      </c>
      <c r="F335" s="80">
        <v>0</v>
      </c>
      <c r="G335" s="47">
        <v>180000</v>
      </c>
      <c r="H335" s="116">
        <v>130000</v>
      </c>
      <c r="N335" s="116">
        <v>130000</v>
      </c>
      <c r="O335" s="116"/>
      <c r="P335" s="116">
        <f>N335+O335</f>
        <v>130000</v>
      </c>
      <c r="Q335" s="116">
        <v>130000</v>
      </c>
      <c r="R335" s="102"/>
      <c r="S335" s="116">
        <f>Q335+R335</f>
        <v>130000</v>
      </c>
    </row>
    <row r="336" spans="1:19" ht="69.75" customHeight="1">
      <c r="A336" s="41" t="s">
        <v>319</v>
      </c>
      <c r="B336" s="24" t="s">
        <v>116</v>
      </c>
      <c r="C336" s="24" t="s">
        <v>72</v>
      </c>
      <c r="D336" s="24" t="s">
        <v>320</v>
      </c>
      <c r="E336" s="24"/>
      <c r="F336" s="80" t="e">
        <f>F337+#REF!</f>
        <v>#REF!</v>
      </c>
      <c r="G336" s="24"/>
      <c r="H336" s="116">
        <f>H337+H340+H343</f>
        <v>5064200</v>
      </c>
      <c r="N336" s="116">
        <f>N337+N340+N343</f>
        <v>5064200</v>
      </c>
      <c r="O336" s="116"/>
      <c r="P336" s="116">
        <f>P337+P340+P343</f>
        <v>5064200</v>
      </c>
      <c r="Q336" s="116">
        <f>Q337+Q340+Q343</f>
        <v>5064200</v>
      </c>
      <c r="R336" s="102"/>
      <c r="S336" s="116">
        <f>S337+S340+S343</f>
        <v>5064200</v>
      </c>
    </row>
    <row r="337" spans="1:19" ht="52.5" customHeight="1">
      <c r="A337" s="57" t="s">
        <v>321</v>
      </c>
      <c r="B337" s="24" t="s">
        <v>116</v>
      </c>
      <c r="C337" s="24" t="s">
        <v>72</v>
      </c>
      <c r="D337" s="24" t="s">
        <v>322</v>
      </c>
      <c r="E337" s="24"/>
      <c r="F337" s="80" t="e">
        <f>F343+#REF!</f>
        <v>#REF!</v>
      </c>
      <c r="G337" s="24"/>
      <c r="H337" s="116">
        <f>H338+H339</f>
        <v>3000000</v>
      </c>
      <c r="N337" s="116">
        <f>N338+N339</f>
        <v>3000000</v>
      </c>
      <c r="O337" s="116"/>
      <c r="P337" s="116">
        <f>P338+P339</f>
        <v>3000000</v>
      </c>
      <c r="Q337" s="116">
        <f>Q338+Q339</f>
        <v>3000000</v>
      </c>
      <c r="R337" s="102"/>
      <c r="S337" s="116">
        <f>S338+S339</f>
        <v>3000000</v>
      </c>
    </row>
    <row r="338" spans="1:19" ht="37.5" customHeight="1">
      <c r="A338" s="132" t="s">
        <v>306</v>
      </c>
      <c r="B338" s="24" t="s">
        <v>116</v>
      </c>
      <c r="C338" s="24" t="s">
        <v>72</v>
      </c>
      <c r="D338" s="24" t="s">
        <v>322</v>
      </c>
      <c r="E338" s="24" t="s">
        <v>138</v>
      </c>
      <c r="F338" s="80"/>
      <c r="G338" s="24"/>
      <c r="H338" s="116">
        <v>2290427</v>
      </c>
      <c r="N338" s="116">
        <v>2290427</v>
      </c>
      <c r="O338" s="116"/>
      <c r="P338" s="116">
        <f aca="true" t="shared" si="34" ref="P338:P344">N338+O338</f>
        <v>2290427</v>
      </c>
      <c r="Q338" s="116">
        <v>2290427</v>
      </c>
      <c r="R338" s="102"/>
      <c r="S338" s="116">
        <f aca="true" t="shared" si="35" ref="S338:S344">Q338+R338</f>
        <v>2290427</v>
      </c>
    </row>
    <row r="339" spans="1:19" ht="19.5" customHeight="1">
      <c r="A339" s="41" t="s">
        <v>302</v>
      </c>
      <c r="B339" s="24" t="s">
        <v>116</v>
      </c>
      <c r="C339" s="24" t="s">
        <v>72</v>
      </c>
      <c r="D339" s="24" t="s">
        <v>322</v>
      </c>
      <c r="E339" s="24" t="s">
        <v>303</v>
      </c>
      <c r="F339" s="80"/>
      <c r="G339" s="24"/>
      <c r="H339" s="116">
        <v>709573</v>
      </c>
      <c r="N339" s="116">
        <v>709573</v>
      </c>
      <c r="O339" s="116"/>
      <c r="P339" s="116">
        <f t="shared" si="34"/>
        <v>709573</v>
      </c>
      <c r="Q339" s="116">
        <v>709573</v>
      </c>
      <c r="R339" s="102"/>
      <c r="S339" s="116">
        <f t="shared" si="35"/>
        <v>709573</v>
      </c>
    </row>
    <row r="340" spans="1:19" ht="84" customHeight="1">
      <c r="A340" s="33" t="s">
        <v>325</v>
      </c>
      <c r="B340" s="24" t="s">
        <v>116</v>
      </c>
      <c r="C340" s="24" t="s">
        <v>72</v>
      </c>
      <c r="D340" s="24" t="s">
        <v>326</v>
      </c>
      <c r="E340" s="24"/>
      <c r="F340" s="80"/>
      <c r="G340" s="24"/>
      <c r="H340" s="116">
        <f>H341+H342</f>
        <v>1850000</v>
      </c>
      <c r="N340" s="116">
        <f>N341+N342</f>
        <v>1850000</v>
      </c>
      <c r="O340" s="116"/>
      <c r="P340" s="116">
        <f>P341+P342</f>
        <v>1850000</v>
      </c>
      <c r="Q340" s="116">
        <f>Q341+Q342</f>
        <v>1850000</v>
      </c>
      <c r="R340" s="102"/>
      <c r="S340" s="116">
        <f>S341+S342</f>
        <v>1850000</v>
      </c>
    </row>
    <row r="341" spans="1:19" ht="38.25" customHeight="1">
      <c r="A341" s="41" t="s">
        <v>161</v>
      </c>
      <c r="B341" s="24" t="s">
        <v>116</v>
      </c>
      <c r="C341" s="24" t="s">
        <v>72</v>
      </c>
      <c r="D341" s="24" t="s">
        <v>326</v>
      </c>
      <c r="E341" s="24" t="s">
        <v>136</v>
      </c>
      <c r="F341" s="80"/>
      <c r="G341" s="24"/>
      <c r="H341" s="116">
        <v>830000</v>
      </c>
      <c r="N341" s="116">
        <v>830000</v>
      </c>
      <c r="O341" s="116"/>
      <c r="P341" s="116">
        <f t="shared" si="34"/>
        <v>830000</v>
      </c>
      <c r="Q341" s="116">
        <v>830000</v>
      </c>
      <c r="R341" s="102"/>
      <c r="S341" s="116">
        <f t="shared" si="35"/>
        <v>830000</v>
      </c>
    </row>
    <row r="342" spans="1:19" ht="18" customHeight="1">
      <c r="A342" s="41" t="s">
        <v>302</v>
      </c>
      <c r="B342" s="24" t="s">
        <v>116</v>
      </c>
      <c r="C342" s="24" t="s">
        <v>72</v>
      </c>
      <c r="D342" s="24" t="s">
        <v>326</v>
      </c>
      <c r="E342" s="24" t="s">
        <v>303</v>
      </c>
      <c r="F342" s="80"/>
      <c r="G342" s="24"/>
      <c r="H342" s="116">
        <v>1020000</v>
      </c>
      <c r="N342" s="116">
        <v>1020000</v>
      </c>
      <c r="O342" s="116"/>
      <c r="P342" s="116">
        <f t="shared" si="34"/>
        <v>1020000</v>
      </c>
      <c r="Q342" s="116">
        <v>1020000</v>
      </c>
      <c r="R342" s="102"/>
      <c r="S342" s="116">
        <f t="shared" si="35"/>
        <v>1020000</v>
      </c>
    </row>
    <row r="343" spans="1:19" ht="68.25" customHeight="1">
      <c r="A343" s="41" t="s">
        <v>327</v>
      </c>
      <c r="B343" s="24" t="s">
        <v>116</v>
      </c>
      <c r="C343" s="24" t="s">
        <v>72</v>
      </c>
      <c r="D343" s="24" t="s">
        <v>328</v>
      </c>
      <c r="E343" s="24"/>
      <c r="F343" s="80" t="e">
        <f>F344+#REF!+F372</f>
        <v>#REF!</v>
      </c>
      <c r="G343" s="24"/>
      <c r="H343" s="116">
        <f>H344</f>
        <v>214200</v>
      </c>
      <c r="N343" s="116">
        <f>N344</f>
        <v>214200</v>
      </c>
      <c r="O343" s="116"/>
      <c r="P343" s="116">
        <f>P344</f>
        <v>214200</v>
      </c>
      <c r="Q343" s="116">
        <f>Q344</f>
        <v>214200</v>
      </c>
      <c r="R343" s="102"/>
      <c r="S343" s="116">
        <f>S344</f>
        <v>214200</v>
      </c>
    </row>
    <row r="344" spans="1:19" ht="37.5" customHeight="1">
      <c r="A344" s="41" t="s">
        <v>161</v>
      </c>
      <c r="B344" s="24" t="s">
        <v>116</v>
      </c>
      <c r="C344" s="24" t="s">
        <v>72</v>
      </c>
      <c r="D344" s="24" t="s">
        <v>328</v>
      </c>
      <c r="E344" s="24" t="s">
        <v>136</v>
      </c>
      <c r="F344" s="80">
        <v>0</v>
      </c>
      <c r="G344" s="47">
        <v>1701600</v>
      </c>
      <c r="H344" s="116">
        <v>214200</v>
      </c>
      <c r="N344" s="116">
        <v>214200</v>
      </c>
      <c r="O344" s="116"/>
      <c r="P344" s="116">
        <f t="shared" si="34"/>
        <v>214200</v>
      </c>
      <c r="Q344" s="116">
        <v>214200</v>
      </c>
      <c r="R344" s="102"/>
      <c r="S344" s="116">
        <f t="shared" si="35"/>
        <v>214200</v>
      </c>
    </row>
    <row r="345" spans="1:19" ht="22.5" customHeight="1">
      <c r="A345" s="41" t="s">
        <v>73</v>
      </c>
      <c r="B345" s="24" t="s">
        <v>116</v>
      </c>
      <c r="C345" s="24" t="s">
        <v>74</v>
      </c>
      <c r="D345" s="24"/>
      <c r="E345" s="24"/>
      <c r="F345" s="80"/>
      <c r="G345" s="47"/>
      <c r="H345" s="116">
        <f>H346+H357+H354</f>
        <v>14523570</v>
      </c>
      <c r="N345" s="116">
        <f>N346+N357+N354</f>
        <v>14910270</v>
      </c>
      <c r="O345" s="116"/>
      <c r="P345" s="116">
        <f>P346+P357+P354</f>
        <v>14910270</v>
      </c>
      <c r="Q345" s="116">
        <f>Q346+Q357+Q354</f>
        <v>15316270</v>
      </c>
      <c r="R345" s="102"/>
      <c r="S345" s="116">
        <f>S346+S357+S354</f>
        <v>15316270</v>
      </c>
    </row>
    <row r="346" spans="1:19" ht="63">
      <c r="A346" s="41" t="s">
        <v>329</v>
      </c>
      <c r="B346" s="24" t="s">
        <v>116</v>
      </c>
      <c r="C346" s="24" t="s">
        <v>74</v>
      </c>
      <c r="D346" s="24" t="s">
        <v>330</v>
      </c>
      <c r="E346" s="24"/>
      <c r="F346" s="80" t="e">
        <f>#REF!+F347+F349+#REF!+#REF!+#REF!+#REF!</f>
        <v>#REF!</v>
      </c>
      <c r="G346" s="24"/>
      <c r="H346" s="116">
        <f>H347+H349+H351</f>
        <v>11406570</v>
      </c>
      <c r="N346" s="116">
        <f>N347+N349+N351</f>
        <v>11793270</v>
      </c>
      <c r="O346" s="116"/>
      <c r="P346" s="116">
        <f>P347+P349+P351</f>
        <v>11793270</v>
      </c>
      <c r="Q346" s="116">
        <f>Q347+Q349+Q351</f>
        <v>12199270</v>
      </c>
      <c r="R346" s="102"/>
      <c r="S346" s="116">
        <f>S347+S349+S351</f>
        <v>12199270</v>
      </c>
    </row>
    <row r="347" spans="1:19" ht="33" customHeight="1">
      <c r="A347" s="57" t="s">
        <v>331</v>
      </c>
      <c r="B347" s="31" t="s">
        <v>116</v>
      </c>
      <c r="C347" s="31" t="s">
        <v>74</v>
      </c>
      <c r="D347" s="31" t="s">
        <v>332</v>
      </c>
      <c r="E347" s="31"/>
      <c r="F347" s="80">
        <f>F348</f>
        <v>0</v>
      </c>
      <c r="G347" s="31"/>
      <c r="H347" s="116">
        <f>H348</f>
        <v>1302070</v>
      </c>
      <c r="N347" s="116">
        <f>N348</f>
        <v>1302070</v>
      </c>
      <c r="O347" s="116"/>
      <c r="P347" s="116">
        <f>P348</f>
        <v>1302070</v>
      </c>
      <c r="Q347" s="116">
        <f>Q348</f>
        <v>1302070</v>
      </c>
      <c r="R347" s="102"/>
      <c r="S347" s="116">
        <f>S348</f>
        <v>1302070</v>
      </c>
    </row>
    <row r="348" spans="1:19" ht="36" customHeight="1">
      <c r="A348" s="133" t="s">
        <v>309</v>
      </c>
      <c r="B348" s="31" t="s">
        <v>116</v>
      </c>
      <c r="C348" s="24" t="s">
        <v>74</v>
      </c>
      <c r="D348" s="31" t="s">
        <v>332</v>
      </c>
      <c r="E348" s="31" t="s">
        <v>310</v>
      </c>
      <c r="F348" s="80">
        <v>0</v>
      </c>
      <c r="G348" s="48">
        <v>11802000</v>
      </c>
      <c r="H348" s="116">
        <v>1302070</v>
      </c>
      <c r="N348" s="116">
        <v>1302070</v>
      </c>
      <c r="O348" s="116"/>
      <c r="P348" s="116">
        <f aca="true" t="shared" si="36" ref="P348:P353">N348+O348</f>
        <v>1302070</v>
      </c>
      <c r="Q348" s="116">
        <v>1302070</v>
      </c>
      <c r="R348" s="102"/>
      <c r="S348" s="116">
        <f aca="true" t="shared" si="37" ref="S348:S353">Q348+R348</f>
        <v>1302070</v>
      </c>
    </row>
    <row r="349" spans="1:19" ht="17.25" customHeight="1">
      <c r="A349" s="58" t="s">
        <v>333</v>
      </c>
      <c r="B349" s="31" t="s">
        <v>116</v>
      </c>
      <c r="C349" s="31" t="s">
        <v>74</v>
      </c>
      <c r="D349" s="31" t="s">
        <v>334</v>
      </c>
      <c r="E349" s="31"/>
      <c r="F349" s="80" t="e">
        <f>#REF!+#REF!+#REF!</f>
        <v>#REF!</v>
      </c>
      <c r="G349" s="31"/>
      <c r="H349" s="116">
        <f>H350</f>
        <v>7733500</v>
      </c>
      <c r="N349" s="124">
        <f>N350</f>
        <v>8120200</v>
      </c>
      <c r="O349" s="124"/>
      <c r="P349" s="124">
        <f>P350</f>
        <v>8120200</v>
      </c>
      <c r="Q349" s="124">
        <f>Q350</f>
        <v>8526200</v>
      </c>
      <c r="R349" s="102"/>
      <c r="S349" s="124">
        <f>S350</f>
        <v>8526200</v>
      </c>
    </row>
    <row r="350" spans="1:19" ht="35.25" customHeight="1">
      <c r="A350" s="41" t="s">
        <v>161</v>
      </c>
      <c r="B350" s="31" t="s">
        <v>116</v>
      </c>
      <c r="C350" s="24" t="s">
        <v>74</v>
      </c>
      <c r="D350" s="24" t="s">
        <v>334</v>
      </c>
      <c r="E350" s="24" t="s">
        <v>136</v>
      </c>
      <c r="F350" s="80"/>
      <c r="G350" s="24"/>
      <c r="H350" s="116">
        <v>7733500</v>
      </c>
      <c r="N350" s="124">
        <v>8120200</v>
      </c>
      <c r="O350" s="124"/>
      <c r="P350" s="116">
        <f t="shared" si="36"/>
        <v>8120200</v>
      </c>
      <c r="Q350" s="124">
        <v>8526200</v>
      </c>
      <c r="R350" s="102"/>
      <c r="S350" s="116">
        <f t="shared" si="37"/>
        <v>8526200</v>
      </c>
    </row>
    <row r="351" spans="1:19" ht="33.75" customHeight="1">
      <c r="A351" s="33" t="s">
        <v>335</v>
      </c>
      <c r="B351" s="31" t="s">
        <v>116</v>
      </c>
      <c r="C351" s="31" t="s">
        <v>74</v>
      </c>
      <c r="D351" s="24" t="s">
        <v>336</v>
      </c>
      <c r="E351" s="24"/>
      <c r="F351" s="80"/>
      <c r="G351" s="24"/>
      <c r="H351" s="116">
        <f>H352+H353</f>
        <v>2371000</v>
      </c>
      <c r="N351" s="116">
        <f>N352+N353</f>
        <v>2371000</v>
      </c>
      <c r="O351" s="116"/>
      <c r="P351" s="116">
        <f>P352+P353</f>
        <v>2371000</v>
      </c>
      <c r="Q351" s="116">
        <f>Q352+Q353</f>
        <v>2371000</v>
      </c>
      <c r="R351" s="102"/>
      <c r="S351" s="116">
        <f>S352+S353</f>
        <v>2371000</v>
      </c>
    </row>
    <row r="352" spans="1:19" ht="36.75" customHeight="1">
      <c r="A352" s="41" t="s">
        <v>161</v>
      </c>
      <c r="B352" s="31" t="s">
        <v>116</v>
      </c>
      <c r="C352" s="24" t="s">
        <v>74</v>
      </c>
      <c r="D352" s="24" t="s">
        <v>336</v>
      </c>
      <c r="E352" s="24" t="s">
        <v>136</v>
      </c>
      <c r="F352" s="80"/>
      <c r="G352" s="24"/>
      <c r="H352" s="116">
        <v>1876408</v>
      </c>
      <c r="N352" s="116">
        <v>1876408</v>
      </c>
      <c r="O352" s="116"/>
      <c r="P352" s="116">
        <f t="shared" si="36"/>
        <v>1876408</v>
      </c>
      <c r="Q352" s="116">
        <v>1876408</v>
      </c>
      <c r="R352" s="102"/>
      <c r="S352" s="116">
        <f t="shared" si="37"/>
        <v>1876408</v>
      </c>
    </row>
    <row r="353" spans="1:19" ht="20.25" customHeight="1">
      <c r="A353" s="41" t="s">
        <v>302</v>
      </c>
      <c r="B353" s="31" t="s">
        <v>116</v>
      </c>
      <c r="C353" s="31" t="s">
        <v>74</v>
      </c>
      <c r="D353" s="24" t="s">
        <v>336</v>
      </c>
      <c r="E353" s="24" t="s">
        <v>303</v>
      </c>
      <c r="F353" s="80"/>
      <c r="G353" s="24"/>
      <c r="H353" s="116">
        <v>494592</v>
      </c>
      <c r="N353" s="116">
        <v>494592</v>
      </c>
      <c r="O353" s="116"/>
      <c r="P353" s="116">
        <f t="shared" si="36"/>
        <v>494592</v>
      </c>
      <c r="Q353" s="116">
        <v>494592</v>
      </c>
      <c r="R353" s="102"/>
      <c r="S353" s="116">
        <f t="shared" si="37"/>
        <v>494592</v>
      </c>
    </row>
    <row r="354" spans="1:19" ht="69" customHeight="1">
      <c r="A354" s="41" t="s">
        <v>319</v>
      </c>
      <c r="B354" s="31"/>
      <c r="C354" s="31" t="s">
        <v>74</v>
      </c>
      <c r="D354" s="24" t="s">
        <v>320</v>
      </c>
      <c r="E354" s="24"/>
      <c r="F354" s="80"/>
      <c r="G354" s="24"/>
      <c r="H354" s="116">
        <f>H355</f>
        <v>1267000</v>
      </c>
      <c r="N354" s="116">
        <f>N355</f>
        <v>1267000</v>
      </c>
      <c r="O354" s="116"/>
      <c r="P354" s="116">
        <f>P355</f>
        <v>1267000</v>
      </c>
      <c r="Q354" s="116">
        <f>Q355</f>
        <v>1267000</v>
      </c>
      <c r="R354" s="102"/>
      <c r="S354" s="116">
        <f>S355</f>
        <v>1267000</v>
      </c>
    </row>
    <row r="355" spans="1:19" ht="33" customHeight="1">
      <c r="A355" s="33" t="s">
        <v>323</v>
      </c>
      <c r="B355" s="24" t="s">
        <v>116</v>
      </c>
      <c r="C355" s="24" t="s">
        <v>74</v>
      </c>
      <c r="D355" s="24" t="s">
        <v>324</v>
      </c>
      <c r="E355" s="24"/>
      <c r="F355" s="80"/>
      <c r="G355" s="24"/>
      <c r="H355" s="116">
        <f>H356</f>
        <v>1267000</v>
      </c>
      <c r="N355" s="116">
        <f>N356</f>
        <v>1267000</v>
      </c>
      <c r="O355" s="116"/>
      <c r="P355" s="116">
        <f>P356</f>
        <v>1267000</v>
      </c>
      <c r="Q355" s="116">
        <f>Q356</f>
        <v>1267000</v>
      </c>
      <c r="R355" s="102"/>
      <c r="S355" s="116">
        <f>S356</f>
        <v>1267000</v>
      </c>
    </row>
    <row r="356" spans="1:19" ht="18" customHeight="1">
      <c r="A356" s="41" t="s">
        <v>302</v>
      </c>
      <c r="B356" s="24" t="s">
        <v>116</v>
      </c>
      <c r="C356" s="24" t="s">
        <v>74</v>
      </c>
      <c r="D356" s="24" t="s">
        <v>324</v>
      </c>
      <c r="E356" s="24" t="s">
        <v>303</v>
      </c>
      <c r="F356" s="80"/>
      <c r="G356" s="24"/>
      <c r="H356" s="116">
        <v>1267000</v>
      </c>
      <c r="N356" s="116">
        <v>1267000</v>
      </c>
      <c r="O356" s="116"/>
      <c r="P356" s="116">
        <f>N356+O356</f>
        <v>1267000</v>
      </c>
      <c r="Q356" s="116">
        <v>1267000</v>
      </c>
      <c r="R356" s="102"/>
      <c r="S356" s="116">
        <f>Q356+R356</f>
        <v>1267000</v>
      </c>
    </row>
    <row r="357" spans="1:19" ht="84.75" customHeight="1">
      <c r="A357" s="161" t="s">
        <v>217</v>
      </c>
      <c r="B357" s="31"/>
      <c r="C357" s="31" t="s">
        <v>74</v>
      </c>
      <c r="D357" s="24" t="s">
        <v>215</v>
      </c>
      <c r="E357" s="24"/>
      <c r="F357" s="80"/>
      <c r="G357" s="24"/>
      <c r="H357" s="116">
        <f>H358+H362+H365+H368</f>
        <v>1850000</v>
      </c>
      <c r="N357" s="116">
        <f>N358+N362+N365+N368</f>
        <v>1850000</v>
      </c>
      <c r="O357" s="116"/>
      <c r="P357" s="116">
        <f>P358+P362+P365+P368</f>
        <v>1850000</v>
      </c>
      <c r="Q357" s="116">
        <f>Q358+Q362+Q365+Q368</f>
        <v>1850000</v>
      </c>
      <c r="R357" s="102"/>
      <c r="S357" s="116">
        <f>S358+S362+S365+S368</f>
        <v>1850000</v>
      </c>
    </row>
    <row r="358" spans="1:19" ht="46.5" customHeight="1">
      <c r="A358" s="161" t="s">
        <v>360</v>
      </c>
      <c r="B358" s="31"/>
      <c r="C358" s="31" t="s">
        <v>74</v>
      </c>
      <c r="D358" s="24" t="s">
        <v>484</v>
      </c>
      <c r="E358" s="24"/>
      <c r="F358" s="80"/>
      <c r="G358" s="24"/>
      <c r="H358" s="116">
        <f>H359</f>
        <v>827000</v>
      </c>
      <c r="N358" s="116">
        <f>N359</f>
        <v>827000</v>
      </c>
      <c r="O358" s="116"/>
      <c r="P358" s="116">
        <f>P359</f>
        <v>827000</v>
      </c>
      <c r="Q358" s="116">
        <f>Q359</f>
        <v>827000</v>
      </c>
      <c r="R358" s="102"/>
      <c r="S358" s="116">
        <f>S359</f>
        <v>827000</v>
      </c>
    </row>
    <row r="359" spans="1:19" ht="30.75" customHeight="1">
      <c r="A359" s="55" t="s">
        <v>361</v>
      </c>
      <c r="B359" s="31"/>
      <c r="C359" s="31" t="s">
        <v>74</v>
      </c>
      <c r="D359" s="24" t="s">
        <v>362</v>
      </c>
      <c r="E359" s="24"/>
      <c r="F359" s="80"/>
      <c r="G359" s="24"/>
      <c r="H359" s="116">
        <f>H360+H361</f>
        <v>827000</v>
      </c>
      <c r="N359" s="116">
        <f>N360+N361</f>
        <v>827000</v>
      </c>
      <c r="O359" s="116"/>
      <c r="P359" s="116">
        <f>P360+P361</f>
        <v>827000</v>
      </c>
      <c r="Q359" s="116">
        <f>Q360+Q361</f>
        <v>827000</v>
      </c>
      <c r="R359" s="102"/>
      <c r="S359" s="116">
        <f>S360+S361</f>
        <v>827000</v>
      </c>
    </row>
    <row r="360" spans="1:19" ht="30.75" customHeight="1">
      <c r="A360" s="41" t="s">
        <v>129</v>
      </c>
      <c r="B360" s="31"/>
      <c r="C360" s="31" t="s">
        <v>74</v>
      </c>
      <c r="D360" s="24" t="s">
        <v>362</v>
      </c>
      <c r="E360" s="24" t="s">
        <v>133</v>
      </c>
      <c r="F360" s="80"/>
      <c r="G360" s="24"/>
      <c r="H360" s="116">
        <v>187521</v>
      </c>
      <c r="N360" s="116">
        <v>639479</v>
      </c>
      <c r="O360" s="116"/>
      <c r="P360" s="116">
        <f>N360+O360</f>
        <v>639479</v>
      </c>
      <c r="Q360" s="116">
        <v>639479</v>
      </c>
      <c r="R360" s="102"/>
      <c r="S360" s="116">
        <f>Q360+R360</f>
        <v>639479</v>
      </c>
    </row>
    <row r="361" spans="1:19" ht="30.75" customHeight="1">
      <c r="A361" s="41" t="s">
        <v>140</v>
      </c>
      <c r="B361" s="31"/>
      <c r="C361" s="31" t="s">
        <v>74</v>
      </c>
      <c r="D361" s="24" t="s">
        <v>362</v>
      </c>
      <c r="E361" s="24" t="s">
        <v>141</v>
      </c>
      <c r="F361" s="80"/>
      <c r="G361" s="24"/>
      <c r="H361" s="116">
        <v>639479</v>
      </c>
      <c r="N361" s="116">
        <v>187521</v>
      </c>
      <c r="O361" s="116"/>
      <c r="P361" s="116">
        <f>N361+O361</f>
        <v>187521</v>
      </c>
      <c r="Q361" s="116">
        <v>187521</v>
      </c>
      <c r="R361" s="102"/>
      <c r="S361" s="116">
        <f>Q361+R361</f>
        <v>187521</v>
      </c>
    </row>
    <row r="362" spans="1:19" ht="46.5" customHeight="1">
      <c r="A362" s="161" t="s">
        <v>363</v>
      </c>
      <c r="B362" s="31"/>
      <c r="C362" s="31" t="s">
        <v>74</v>
      </c>
      <c r="D362" s="24" t="s">
        <v>485</v>
      </c>
      <c r="E362" s="24"/>
      <c r="F362" s="80"/>
      <c r="G362" s="24"/>
      <c r="H362" s="116">
        <f>H363</f>
        <v>126000</v>
      </c>
      <c r="N362" s="116">
        <f>N363</f>
        <v>126000</v>
      </c>
      <c r="O362" s="116"/>
      <c r="P362" s="116">
        <f>P363</f>
        <v>126000</v>
      </c>
      <c r="Q362" s="116">
        <f>Q363</f>
        <v>126000</v>
      </c>
      <c r="R362" s="102"/>
      <c r="S362" s="116">
        <f>S363</f>
        <v>126000</v>
      </c>
    </row>
    <row r="363" spans="1:19" ht="50.25" customHeight="1">
      <c r="A363" s="55" t="s">
        <v>364</v>
      </c>
      <c r="B363" s="31"/>
      <c r="C363" s="31" t="s">
        <v>74</v>
      </c>
      <c r="D363" s="24" t="s">
        <v>365</v>
      </c>
      <c r="E363" s="24"/>
      <c r="F363" s="80"/>
      <c r="G363" s="24"/>
      <c r="H363" s="116">
        <f>H364</f>
        <v>126000</v>
      </c>
      <c r="N363" s="116">
        <f>N364</f>
        <v>126000</v>
      </c>
      <c r="O363" s="116"/>
      <c r="P363" s="116">
        <f>P364</f>
        <v>126000</v>
      </c>
      <c r="Q363" s="116">
        <f>Q364</f>
        <v>126000</v>
      </c>
      <c r="R363" s="102"/>
      <c r="S363" s="116">
        <f>S364</f>
        <v>126000</v>
      </c>
    </row>
    <row r="364" spans="1:19" ht="42.75" customHeight="1">
      <c r="A364" s="41" t="s">
        <v>161</v>
      </c>
      <c r="B364" s="31"/>
      <c r="C364" s="31" t="s">
        <v>74</v>
      </c>
      <c r="D364" s="24" t="s">
        <v>365</v>
      </c>
      <c r="E364" s="24" t="s">
        <v>136</v>
      </c>
      <c r="F364" s="80"/>
      <c r="G364" s="24"/>
      <c r="H364" s="116">
        <v>126000</v>
      </c>
      <c r="N364" s="116">
        <v>126000</v>
      </c>
      <c r="O364" s="116"/>
      <c r="P364" s="116">
        <f>N364+O364</f>
        <v>126000</v>
      </c>
      <c r="Q364" s="116">
        <v>126000</v>
      </c>
      <c r="R364" s="102"/>
      <c r="S364" s="116">
        <f>Q364+R364</f>
        <v>126000</v>
      </c>
    </row>
    <row r="365" spans="1:19" ht="45" customHeight="1">
      <c r="A365" s="161" t="s">
        <v>369</v>
      </c>
      <c r="B365" s="31"/>
      <c r="C365" s="31" t="s">
        <v>74</v>
      </c>
      <c r="D365" s="24" t="s">
        <v>486</v>
      </c>
      <c r="E365" s="24"/>
      <c r="F365" s="80"/>
      <c r="G365" s="24"/>
      <c r="H365" s="116">
        <f>H366</f>
        <v>500000</v>
      </c>
      <c r="N365" s="116">
        <f>N366</f>
        <v>500000</v>
      </c>
      <c r="O365" s="116"/>
      <c r="P365" s="116">
        <f>P366</f>
        <v>500000</v>
      </c>
      <c r="Q365" s="116">
        <f>Q366</f>
        <v>500000</v>
      </c>
      <c r="R365" s="102"/>
      <c r="S365" s="116">
        <f>S366</f>
        <v>500000</v>
      </c>
    </row>
    <row r="366" spans="1:19" ht="42.75" customHeight="1">
      <c r="A366" s="55" t="s">
        <v>368</v>
      </c>
      <c r="B366" s="31"/>
      <c r="C366" s="31" t="s">
        <v>74</v>
      </c>
      <c r="D366" s="24" t="s">
        <v>370</v>
      </c>
      <c r="E366" s="24"/>
      <c r="F366" s="80"/>
      <c r="G366" s="24"/>
      <c r="H366" s="116">
        <f>H367</f>
        <v>500000</v>
      </c>
      <c r="N366" s="116">
        <f>N367</f>
        <v>500000</v>
      </c>
      <c r="O366" s="116"/>
      <c r="P366" s="116">
        <f>P367</f>
        <v>500000</v>
      </c>
      <c r="Q366" s="116">
        <f>Q367</f>
        <v>500000</v>
      </c>
      <c r="R366" s="102"/>
      <c r="S366" s="116">
        <f>S367</f>
        <v>500000</v>
      </c>
    </row>
    <row r="367" spans="1:19" ht="24.75" customHeight="1">
      <c r="A367" s="41" t="s">
        <v>140</v>
      </c>
      <c r="B367" s="31"/>
      <c r="C367" s="31" t="s">
        <v>74</v>
      </c>
      <c r="D367" s="24" t="s">
        <v>370</v>
      </c>
      <c r="E367" s="24" t="s">
        <v>141</v>
      </c>
      <c r="F367" s="80"/>
      <c r="G367" s="24"/>
      <c r="H367" s="116">
        <v>500000</v>
      </c>
      <c r="N367" s="116">
        <v>500000</v>
      </c>
      <c r="O367" s="116"/>
      <c r="P367" s="116">
        <f>N367+O367</f>
        <v>500000</v>
      </c>
      <c r="Q367" s="116">
        <v>500000</v>
      </c>
      <c r="R367" s="102"/>
      <c r="S367" s="116">
        <f>Q367+R367</f>
        <v>500000</v>
      </c>
    </row>
    <row r="368" spans="1:19" ht="53.25" customHeight="1">
      <c r="A368" s="82" t="s">
        <v>366</v>
      </c>
      <c r="B368" s="31"/>
      <c r="C368" s="31" t="s">
        <v>74</v>
      </c>
      <c r="D368" s="24" t="s">
        <v>487</v>
      </c>
      <c r="E368" s="24"/>
      <c r="F368" s="80"/>
      <c r="G368" s="24"/>
      <c r="H368" s="116">
        <f>H369</f>
        <v>397000</v>
      </c>
      <c r="N368" s="116">
        <f>N369</f>
        <v>397000</v>
      </c>
      <c r="O368" s="116"/>
      <c r="P368" s="116">
        <f>P369</f>
        <v>397000</v>
      </c>
      <c r="Q368" s="116">
        <f>Q369</f>
        <v>397000</v>
      </c>
      <c r="R368" s="102"/>
      <c r="S368" s="116">
        <f>S369</f>
        <v>397000</v>
      </c>
    </row>
    <row r="369" spans="1:19" ht="57.75" customHeight="1">
      <c r="A369" s="83" t="s">
        <v>367</v>
      </c>
      <c r="B369" s="31"/>
      <c r="C369" s="31" t="s">
        <v>74</v>
      </c>
      <c r="D369" s="24" t="s">
        <v>474</v>
      </c>
      <c r="E369" s="24"/>
      <c r="F369" s="80"/>
      <c r="G369" s="24"/>
      <c r="H369" s="116">
        <f>H370</f>
        <v>397000</v>
      </c>
      <c r="N369" s="116">
        <f>N370</f>
        <v>397000</v>
      </c>
      <c r="O369" s="116"/>
      <c r="P369" s="116">
        <f>P370</f>
        <v>397000</v>
      </c>
      <c r="Q369" s="116">
        <f>Q370</f>
        <v>397000</v>
      </c>
      <c r="R369" s="102"/>
      <c r="S369" s="116">
        <f>S370</f>
        <v>397000</v>
      </c>
    </row>
    <row r="370" spans="1:19" ht="22.5" customHeight="1">
      <c r="A370" s="72" t="s">
        <v>158</v>
      </c>
      <c r="B370" s="31"/>
      <c r="C370" s="31" t="s">
        <v>74</v>
      </c>
      <c r="D370" s="24" t="s">
        <v>474</v>
      </c>
      <c r="E370" s="24" t="s">
        <v>157</v>
      </c>
      <c r="F370" s="80"/>
      <c r="G370" s="24"/>
      <c r="H370" s="116">
        <v>397000</v>
      </c>
      <c r="N370" s="116">
        <v>397000</v>
      </c>
      <c r="O370" s="116"/>
      <c r="P370" s="116">
        <f>N370+O370</f>
        <v>397000</v>
      </c>
      <c r="Q370" s="116">
        <v>397000</v>
      </c>
      <c r="R370" s="102"/>
      <c r="S370" s="116">
        <f>Q370+R370</f>
        <v>397000</v>
      </c>
    </row>
    <row r="371" spans="1:19" ht="24.75" customHeight="1">
      <c r="A371" s="41" t="s">
        <v>75</v>
      </c>
      <c r="B371" s="24" t="s">
        <v>116</v>
      </c>
      <c r="C371" s="24" t="s">
        <v>76</v>
      </c>
      <c r="D371" s="24"/>
      <c r="E371" s="24"/>
      <c r="F371" s="80" t="e">
        <f>#REF!+F378+#REF!+F388+#REF!</f>
        <v>#REF!</v>
      </c>
      <c r="G371" s="24"/>
      <c r="H371" s="116">
        <f>H372</f>
        <v>9079777</v>
      </c>
      <c r="N371" s="116">
        <f>N372</f>
        <v>9079777</v>
      </c>
      <c r="O371" s="116"/>
      <c r="P371" s="116">
        <f>P372</f>
        <v>9079777</v>
      </c>
      <c r="Q371" s="116">
        <f>Q372</f>
        <v>9079777</v>
      </c>
      <c r="R371" s="102"/>
      <c r="S371" s="116">
        <f>S372</f>
        <v>9079777</v>
      </c>
    </row>
    <row r="372" spans="1:19" ht="30.75" customHeight="1">
      <c r="A372" s="41" t="s">
        <v>337</v>
      </c>
      <c r="B372" s="24" t="s">
        <v>116</v>
      </c>
      <c r="C372" s="24" t="s">
        <v>76</v>
      </c>
      <c r="D372" s="24" t="s">
        <v>338</v>
      </c>
      <c r="E372" s="24"/>
      <c r="F372" s="80">
        <v>0</v>
      </c>
      <c r="G372" s="47">
        <v>5432400</v>
      </c>
      <c r="H372" s="116">
        <f>H373+H378+H388</f>
        <v>9079777</v>
      </c>
      <c r="N372" s="116">
        <f>N373+N378+N388</f>
        <v>9079777</v>
      </c>
      <c r="O372" s="116"/>
      <c r="P372" s="116">
        <f>P373+P378+P388+P385</f>
        <v>9079777</v>
      </c>
      <c r="Q372" s="116">
        <f>Q373+Q378+Q388</f>
        <v>9079777</v>
      </c>
      <c r="R372" s="102"/>
      <c r="S372" s="116">
        <f>S373+S378+S388+S385</f>
        <v>9079777</v>
      </c>
    </row>
    <row r="373" spans="1:19" ht="50.25" customHeight="1">
      <c r="A373" s="41" t="s">
        <v>339</v>
      </c>
      <c r="B373" s="24">
        <v>906</v>
      </c>
      <c r="C373" s="24" t="s">
        <v>76</v>
      </c>
      <c r="D373" s="24" t="s">
        <v>340</v>
      </c>
      <c r="E373" s="24"/>
      <c r="F373" s="80" t="e">
        <f>F374+F375+#REF!+#REF!+F376+F377</f>
        <v>#REF!</v>
      </c>
      <c r="G373" s="24"/>
      <c r="H373" s="116">
        <f>H374+H375+H376+H377</f>
        <v>6377777</v>
      </c>
      <c r="N373" s="116">
        <f>N374+N375+N376+N377</f>
        <v>6377777</v>
      </c>
      <c r="O373" s="116"/>
      <c r="P373" s="116">
        <f>P374+P375+P376+P377</f>
        <v>6377777</v>
      </c>
      <c r="Q373" s="116">
        <f>Q374+Q375+Q376+Q377</f>
        <v>6377777</v>
      </c>
      <c r="R373" s="102"/>
      <c r="S373" s="116">
        <f>S374+S375+S376+S377</f>
        <v>6377777</v>
      </c>
    </row>
    <row r="374" spans="1:19" ht="21.75" customHeight="1">
      <c r="A374" s="41" t="s">
        <v>129</v>
      </c>
      <c r="B374" s="24" t="s">
        <v>116</v>
      </c>
      <c r="C374" s="24" t="s">
        <v>76</v>
      </c>
      <c r="D374" s="24" t="s">
        <v>340</v>
      </c>
      <c r="E374" s="24" t="s">
        <v>133</v>
      </c>
      <c r="F374" s="80">
        <v>0</v>
      </c>
      <c r="G374" s="47">
        <v>487939</v>
      </c>
      <c r="H374" s="116">
        <v>5319468</v>
      </c>
      <c r="N374" s="116">
        <v>5319468</v>
      </c>
      <c r="O374" s="116"/>
      <c r="P374" s="116">
        <f aca="true" t="shared" si="38" ref="P374:P389">N374+O374</f>
        <v>5319468</v>
      </c>
      <c r="Q374" s="116">
        <v>5319468</v>
      </c>
      <c r="R374" s="102"/>
      <c r="S374" s="116">
        <f aca="true" t="shared" si="39" ref="S374:S389">Q374+R374</f>
        <v>5319468</v>
      </c>
    </row>
    <row r="375" spans="1:19" ht="37.5" customHeight="1">
      <c r="A375" s="41" t="s">
        <v>130</v>
      </c>
      <c r="B375" s="24">
        <v>906</v>
      </c>
      <c r="C375" s="24" t="s">
        <v>76</v>
      </c>
      <c r="D375" s="24" t="s">
        <v>340</v>
      </c>
      <c r="E375" s="24" t="s">
        <v>134</v>
      </c>
      <c r="F375" s="80">
        <v>0</v>
      </c>
      <c r="G375" s="47">
        <v>7200</v>
      </c>
      <c r="H375" s="116">
        <v>19000</v>
      </c>
      <c r="N375" s="116">
        <v>19000</v>
      </c>
      <c r="O375" s="116"/>
      <c r="P375" s="116">
        <f t="shared" si="38"/>
        <v>19000</v>
      </c>
      <c r="Q375" s="116">
        <v>19000</v>
      </c>
      <c r="R375" s="102"/>
      <c r="S375" s="116">
        <f t="shared" si="39"/>
        <v>19000</v>
      </c>
    </row>
    <row r="376" spans="1:19" ht="47.25">
      <c r="A376" s="41" t="s">
        <v>131</v>
      </c>
      <c r="B376" s="24">
        <v>906</v>
      </c>
      <c r="C376" s="24" t="s">
        <v>76</v>
      </c>
      <c r="D376" s="24" t="s">
        <v>340</v>
      </c>
      <c r="E376" s="24" t="s">
        <v>135</v>
      </c>
      <c r="F376" s="80">
        <v>0</v>
      </c>
      <c r="G376" s="47">
        <v>62238</v>
      </c>
      <c r="H376" s="116">
        <v>368640</v>
      </c>
      <c r="N376" s="116">
        <v>368640</v>
      </c>
      <c r="O376" s="116"/>
      <c r="P376" s="116">
        <f t="shared" si="38"/>
        <v>368640</v>
      </c>
      <c r="Q376" s="116">
        <v>368640</v>
      </c>
      <c r="R376" s="102"/>
      <c r="S376" s="116">
        <f t="shared" si="39"/>
        <v>368640</v>
      </c>
    </row>
    <row r="377" spans="1:19" ht="35.25" customHeight="1">
      <c r="A377" s="41" t="s">
        <v>161</v>
      </c>
      <c r="B377" s="24" t="s">
        <v>116</v>
      </c>
      <c r="C377" s="24" t="s">
        <v>76</v>
      </c>
      <c r="D377" s="24" t="s">
        <v>340</v>
      </c>
      <c r="E377" s="24" t="s">
        <v>136</v>
      </c>
      <c r="F377" s="80">
        <v>0</v>
      </c>
      <c r="G377" s="47">
        <v>300004</v>
      </c>
      <c r="H377" s="116">
        <v>670669</v>
      </c>
      <c r="N377" s="116">
        <v>670669</v>
      </c>
      <c r="O377" s="116"/>
      <c r="P377" s="116">
        <f t="shared" si="38"/>
        <v>670669</v>
      </c>
      <c r="Q377" s="116">
        <v>670669</v>
      </c>
      <c r="R377" s="102"/>
      <c r="S377" s="116">
        <f t="shared" si="39"/>
        <v>670669</v>
      </c>
    </row>
    <row r="378" spans="1:19" ht="49.5" customHeight="1">
      <c r="A378" s="41" t="s">
        <v>341</v>
      </c>
      <c r="B378" s="24">
        <v>906</v>
      </c>
      <c r="C378" s="24" t="s">
        <v>76</v>
      </c>
      <c r="D378" s="24" t="s">
        <v>464</v>
      </c>
      <c r="E378" s="24"/>
      <c r="F378" s="80" t="e">
        <f>#REF!</f>
        <v>#REF!</v>
      </c>
      <c r="G378" s="24"/>
      <c r="H378" s="116">
        <f>H379+H380+H383+H384</f>
        <v>2302000</v>
      </c>
      <c r="N378" s="116">
        <f>N379+N380+N383+N384</f>
        <v>2302000</v>
      </c>
      <c r="O378" s="116"/>
      <c r="P378" s="116">
        <f>P379+P380+P383+P384+P381+P382</f>
        <v>1910241</v>
      </c>
      <c r="Q378" s="116">
        <f>Q379+Q380+Q383+Q384</f>
        <v>2302000</v>
      </c>
      <c r="R378" s="102"/>
      <c r="S378" s="116">
        <f>S379+S380+S383+S384+S381+S382</f>
        <v>1910241</v>
      </c>
    </row>
    <row r="379" spans="1:19" ht="24" customHeight="1">
      <c r="A379" s="41" t="s">
        <v>129</v>
      </c>
      <c r="B379" s="24" t="s">
        <v>116</v>
      </c>
      <c r="C379" s="24" t="s">
        <v>76</v>
      </c>
      <c r="D379" s="24" t="s">
        <v>464</v>
      </c>
      <c r="E379" s="24" t="s">
        <v>133</v>
      </c>
      <c r="F379" s="80">
        <v>0</v>
      </c>
      <c r="G379" s="47">
        <v>4187391</v>
      </c>
      <c r="H379" s="116">
        <v>1808160</v>
      </c>
      <c r="N379" s="116">
        <v>1808160</v>
      </c>
      <c r="O379" s="116">
        <v>-1808160</v>
      </c>
      <c r="P379" s="116">
        <f t="shared" si="38"/>
        <v>0</v>
      </c>
      <c r="Q379" s="116">
        <v>1808160</v>
      </c>
      <c r="R379" s="102">
        <v>-1808160</v>
      </c>
      <c r="S379" s="116">
        <f t="shared" si="39"/>
        <v>0</v>
      </c>
    </row>
    <row r="380" spans="1:19" ht="31.5">
      <c r="A380" s="41" t="s">
        <v>130</v>
      </c>
      <c r="B380" s="24">
        <v>906</v>
      </c>
      <c r="C380" s="24" t="s">
        <v>76</v>
      </c>
      <c r="D380" s="24" t="s">
        <v>464</v>
      </c>
      <c r="E380" s="24" t="s">
        <v>134</v>
      </c>
      <c r="F380" s="80">
        <v>0</v>
      </c>
      <c r="G380" s="47">
        <v>19000</v>
      </c>
      <c r="H380" s="116">
        <v>20000</v>
      </c>
      <c r="N380" s="116">
        <v>20000</v>
      </c>
      <c r="O380" s="116">
        <v>-20000</v>
      </c>
      <c r="P380" s="116">
        <f t="shared" si="38"/>
        <v>0</v>
      </c>
      <c r="Q380" s="116">
        <v>20000</v>
      </c>
      <c r="R380" s="102">
        <v>-20000</v>
      </c>
      <c r="S380" s="116">
        <f t="shared" si="39"/>
        <v>0</v>
      </c>
    </row>
    <row r="381" spans="1:19" ht="15.75">
      <c r="A381" s="41" t="s">
        <v>129</v>
      </c>
      <c r="B381" s="24"/>
      <c r="C381" s="24" t="s">
        <v>76</v>
      </c>
      <c r="D381" s="24" t="s">
        <v>464</v>
      </c>
      <c r="E381" s="24" t="s">
        <v>146</v>
      </c>
      <c r="F381" s="80"/>
      <c r="G381" s="47"/>
      <c r="H381" s="116"/>
      <c r="N381" s="116"/>
      <c r="O381" s="116">
        <v>1424401</v>
      </c>
      <c r="P381" s="116">
        <f t="shared" si="38"/>
        <v>1424401</v>
      </c>
      <c r="Q381" s="116"/>
      <c r="R381" s="102">
        <v>1424401</v>
      </c>
      <c r="S381" s="116">
        <f t="shared" si="39"/>
        <v>1424401</v>
      </c>
    </row>
    <row r="382" spans="1:19" ht="31.5">
      <c r="A382" s="41" t="s">
        <v>130</v>
      </c>
      <c r="B382" s="24"/>
      <c r="C382" s="24" t="s">
        <v>76</v>
      </c>
      <c r="D382" s="24" t="s">
        <v>464</v>
      </c>
      <c r="E382" s="24" t="s">
        <v>147</v>
      </c>
      <c r="F382" s="80"/>
      <c r="G382" s="47"/>
      <c r="H382" s="116"/>
      <c r="N382" s="116"/>
      <c r="O382" s="116">
        <v>12000</v>
      </c>
      <c r="P382" s="116">
        <f t="shared" si="38"/>
        <v>12000</v>
      </c>
      <c r="Q382" s="116"/>
      <c r="R382" s="102">
        <v>12000</v>
      </c>
      <c r="S382" s="116">
        <f t="shared" si="39"/>
        <v>12000</v>
      </c>
    </row>
    <row r="383" spans="1:19" ht="47.25">
      <c r="A383" s="41" t="s">
        <v>131</v>
      </c>
      <c r="B383" s="24" t="s">
        <v>116</v>
      </c>
      <c r="C383" s="24" t="s">
        <v>76</v>
      </c>
      <c r="D383" s="24" t="s">
        <v>464</v>
      </c>
      <c r="E383" s="24" t="s">
        <v>135</v>
      </c>
      <c r="F383" s="80">
        <v>0</v>
      </c>
      <c r="G383" s="47">
        <v>432052</v>
      </c>
      <c r="H383" s="116">
        <v>136240</v>
      </c>
      <c r="N383" s="116">
        <v>136240</v>
      </c>
      <c r="O383" s="116"/>
      <c r="P383" s="116">
        <f t="shared" si="38"/>
        <v>136240</v>
      </c>
      <c r="Q383" s="116">
        <v>136240</v>
      </c>
      <c r="R383" s="102"/>
      <c r="S383" s="116">
        <f t="shared" si="39"/>
        <v>136240</v>
      </c>
    </row>
    <row r="384" spans="1:19" ht="31.5">
      <c r="A384" s="41" t="s">
        <v>161</v>
      </c>
      <c r="B384" s="24">
        <v>906</v>
      </c>
      <c r="C384" s="24" t="s">
        <v>76</v>
      </c>
      <c r="D384" s="24" t="s">
        <v>464</v>
      </c>
      <c r="E384" s="24" t="s">
        <v>136</v>
      </c>
      <c r="F384" s="80">
        <v>0</v>
      </c>
      <c r="G384" s="47">
        <v>608742</v>
      </c>
      <c r="H384" s="116">
        <v>337600</v>
      </c>
      <c r="N384" s="116">
        <v>337600</v>
      </c>
      <c r="O384" s="116"/>
      <c r="P384" s="116">
        <f t="shared" si="38"/>
        <v>337600</v>
      </c>
      <c r="Q384" s="116">
        <v>337600</v>
      </c>
      <c r="R384" s="102"/>
      <c r="S384" s="116">
        <f t="shared" si="39"/>
        <v>337600</v>
      </c>
    </row>
    <row r="385" spans="1:19" ht="47.25">
      <c r="A385" s="64" t="s">
        <v>514</v>
      </c>
      <c r="B385" s="24"/>
      <c r="C385" s="24" t="s">
        <v>76</v>
      </c>
      <c r="D385" s="24" t="s">
        <v>513</v>
      </c>
      <c r="E385" s="24"/>
      <c r="F385" s="80"/>
      <c r="G385" s="47"/>
      <c r="H385" s="116"/>
      <c r="N385" s="116"/>
      <c r="O385" s="116"/>
      <c r="P385" s="116">
        <f>P386+P387</f>
        <v>391759</v>
      </c>
      <c r="Q385" s="116"/>
      <c r="R385" s="102"/>
      <c r="S385" s="116">
        <f>S386+S387</f>
        <v>391759</v>
      </c>
    </row>
    <row r="386" spans="1:19" ht="15.75">
      <c r="A386" s="41" t="s">
        <v>129</v>
      </c>
      <c r="B386" s="24"/>
      <c r="C386" s="24" t="s">
        <v>76</v>
      </c>
      <c r="D386" s="24" t="s">
        <v>513</v>
      </c>
      <c r="E386" s="24" t="s">
        <v>146</v>
      </c>
      <c r="F386" s="80"/>
      <c r="G386" s="47"/>
      <c r="H386" s="116"/>
      <c r="N386" s="116"/>
      <c r="O386" s="116">
        <v>383759</v>
      </c>
      <c r="P386" s="116">
        <f t="shared" si="38"/>
        <v>383759</v>
      </c>
      <c r="Q386" s="116"/>
      <c r="R386" s="102">
        <v>383759</v>
      </c>
      <c r="S386" s="116">
        <f t="shared" si="39"/>
        <v>383759</v>
      </c>
    </row>
    <row r="387" spans="1:19" ht="31.5">
      <c r="A387" s="41" t="s">
        <v>130</v>
      </c>
      <c r="B387" s="24"/>
      <c r="C387" s="24" t="s">
        <v>76</v>
      </c>
      <c r="D387" s="24" t="s">
        <v>513</v>
      </c>
      <c r="E387" s="24" t="s">
        <v>147</v>
      </c>
      <c r="F387" s="80"/>
      <c r="G387" s="47"/>
      <c r="H387" s="116"/>
      <c r="N387" s="116"/>
      <c r="O387" s="116">
        <v>8000</v>
      </c>
      <c r="P387" s="116">
        <f t="shared" si="38"/>
        <v>8000</v>
      </c>
      <c r="Q387" s="116"/>
      <c r="R387" s="102">
        <v>8000</v>
      </c>
      <c r="S387" s="116">
        <f t="shared" si="39"/>
        <v>8000</v>
      </c>
    </row>
    <row r="388" spans="1:19" ht="36" customHeight="1">
      <c r="A388" s="59" t="s">
        <v>343</v>
      </c>
      <c r="B388" s="24" t="s">
        <v>116</v>
      </c>
      <c r="C388" s="24" t="s">
        <v>76</v>
      </c>
      <c r="D388" s="24" t="s">
        <v>342</v>
      </c>
      <c r="E388" s="24"/>
      <c r="F388" s="80" t="e">
        <f>F389+#REF!+#REF!+#REF!+#REF!+#REF!+#REF!</f>
        <v>#REF!</v>
      </c>
      <c r="G388" s="24" t="s">
        <v>164</v>
      </c>
      <c r="H388" s="116">
        <f>H389</f>
        <v>400000</v>
      </c>
      <c r="N388" s="116">
        <f>N389</f>
        <v>400000</v>
      </c>
      <c r="O388" s="116"/>
      <c r="P388" s="116">
        <f>P389</f>
        <v>400000</v>
      </c>
      <c r="Q388" s="116">
        <f>Q389</f>
        <v>400000</v>
      </c>
      <c r="R388" s="102"/>
      <c r="S388" s="116">
        <f>S389</f>
        <v>400000</v>
      </c>
    </row>
    <row r="389" spans="1:19" ht="21" customHeight="1">
      <c r="A389" s="41" t="s">
        <v>140</v>
      </c>
      <c r="B389" s="31" t="s">
        <v>116</v>
      </c>
      <c r="C389" s="31" t="s">
        <v>76</v>
      </c>
      <c r="D389" s="31" t="s">
        <v>342</v>
      </c>
      <c r="E389" s="31" t="s">
        <v>141</v>
      </c>
      <c r="F389" s="148" t="e">
        <f>#REF!</f>
        <v>#REF!</v>
      </c>
      <c r="G389" s="19"/>
      <c r="H389" s="116">
        <v>400000</v>
      </c>
      <c r="N389" s="116">
        <v>400000</v>
      </c>
      <c r="O389" s="116"/>
      <c r="P389" s="116">
        <f t="shared" si="38"/>
        <v>400000</v>
      </c>
      <c r="Q389" s="116">
        <v>400000</v>
      </c>
      <c r="R389" s="102"/>
      <c r="S389" s="116">
        <f t="shared" si="39"/>
        <v>400000</v>
      </c>
    </row>
    <row r="390" spans="1:19" ht="34.5" customHeight="1">
      <c r="A390" s="84" t="s">
        <v>427</v>
      </c>
      <c r="B390" s="31"/>
      <c r="C390" s="31" t="s">
        <v>72</v>
      </c>
      <c r="D390" s="31"/>
      <c r="E390" s="31"/>
      <c r="F390" s="148"/>
      <c r="G390" s="19"/>
      <c r="H390" s="116" t="e">
        <f>H391</f>
        <v>#REF!</v>
      </c>
      <c r="N390" s="116">
        <f>N391</f>
        <v>9101000</v>
      </c>
      <c r="O390" s="116"/>
      <c r="P390" s="116">
        <f>P391</f>
        <v>8601000</v>
      </c>
      <c r="Q390" s="116">
        <f>Q391</f>
        <v>9101000</v>
      </c>
      <c r="R390" s="102"/>
      <c r="S390" s="116">
        <f>S391</f>
        <v>8601000</v>
      </c>
    </row>
    <row r="391" spans="1:19" ht="54" customHeight="1">
      <c r="A391" s="56" t="s">
        <v>424</v>
      </c>
      <c r="B391" s="31"/>
      <c r="C391" s="31" t="s">
        <v>72</v>
      </c>
      <c r="D391" s="24" t="s">
        <v>194</v>
      </c>
      <c r="E391" s="24"/>
      <c r="F391" s="80" t="e">
        <f>#REF!</f>
        <v>#REF!</v>
      </c>
      <c r="G391" s="24"/>
      <c r="H391" s="116" t="e">
        <f>H392+#REF!</f>
        <v>#REF!</v>
      </c>
      <c r="N391" s="116">
        <f>N392</f>
        <v>9101000</v>
      </c>
      <c r="O391" s="116"/>
      <c r="P391" s="116">
        <f>P392</f>
        <v>8601000</v>
      </c>
      <c r="Q391" s="116">
        <f>Q392</f>
        <v>9101000</v>
      </c>
      <c r="R391" s="102"/>
      <c r="S391" s="116">
        <f>S392</f>
        <v>8601000</v>
      </c>
    </row>
    <row r="392" spans="1:19" ht="36.75" customHeight="1">
      <c r="A392" s="41" t="s">
        <v>425</v>
      </c>
      <c r="B392" s="31"/>
      <c r="C392" s="31" t="s">
        <v>72</v>
      </c>
      <c r="D392" s="24" t="s">
        <v>428</v>
      </c>
      <c r="E392" s="24"/>
      <c r="F392" s="80"/>
      <c r="G392" s="24"/>
      <c r="H392" s="116">
        <f>H393+H395</f>
        <v>9101000</v>
      </c>
      <c r="N392" s="116">
        <f>N393+N395</f>
        <v>9101000</v>
      </c>
      <c r="O392" s="116"/>
      <c r="P392" s="116">
        <f>P393+P395</f>
        <v>8601000</v>
      </c>
      <c r="Q392" s="116">
        <f>Q393+Q395</f>
        <v>9101000</v>
      </c>
      <c r="R392" s="102"/>
      <c r="S392" s="116">
        <f>S393+S395</f>
        <v>8601000</v>
      </c>
    </row>
    <row r="393" spans="1:19" ht="46.5" customHeight="1">
      <c r="A393" s="64" t="s">
        <v>144</v>
      </c>
      <c r="B393" s="31"/>
      <c r="C393" s="31" t="s">
        <v>72</v>
      </c>
      <c r="D393" s="24" t="s">
        <v>429</v>
      </c>
      <c r="E393" s="24" t="s">
        <v>145</v>
      </c>
      <c r="F393" s="80">
        <v>0</v>
      </c>
      <c r="G393" s="24" t="s">
        <v>430</v>
      </c>
      <c r="H393" s="116">
        <v>8601000</v>
      </c>
      <c r="N393" s="116">
        <v>8601000</v>
      </c>
      <c r="O393" s="116"/>
      <c r="P393" s="116">
        <f>N393+O393</f>
        <v>8601000</v>
      </c>
      <c r="Q393" s="116">
        <v>8601000</v>
      </c>
      <c r="R393" s="102"/>
      <c r="S393" s="116">
        <f>Q393+R393</f>
        <v>8601000</v>
      </c>
    </row>
    <row r="394" spans="1:19" ht="31.5" customHeight="1">
      <c r="A394" s="64" t="s">
        <v>426</v>
      </c>
      <c r="B394" s="31"/>
      <c r="C394" s="31" t="s">
        <v>72</v>
      </c>
      <c r="D394" s="24" t="s">
        <v>431</v>
      </c>
      <c r="E394" s="24"/>
      <c r="F394" s="80">
        <v>0</v>
      </c>
      <c r="G394" s="24"/>
      <c r="H394" s="116">
        <f>H395</f>
        <v>500000</v>
      </c>
      <c r="N394" s="116">
        <f>N395</f>
        <v>500000</v>
      </c>
      <c r="O394" s="116"/>
      <c r="P394" s="116">
        <f>P395</f>
        <v>0</v>
      </c>
      <c r="Q394" s="116">
        <f>Q395</f>
        <v>500000</v>
      </c>
      <c r="R394" s="102"/>
      <c r="S394" s="116">
        <f>S395</f>
        <v>0</v>
      </c>
    </row>
    <row r="395" spans="1:19" ht="35.25" customHeight="1">
      <c r="A395" s="64" t="s">
        <v>161</v>
      </c>
      <c r="B395" s="31"/>
      <c r="C395" s="31" t="s">
        <v>72</v>
      </c>
      <c r="D395" s="24" t="s">
        <v>431</v>
      </c>
      <c r="E395" s="24" t="s">
        <v>136</v>
      </c>
      <c r="F395" s="80">
        <v>0</v>
      </c>
      <c r="G395" s="24" t="s">
        <v>432</v>
      </c>
      <c r="H395" s="116">
        <v>500000</v>
      </c>
      <c r="N395" s="116">
        <v>500000</v>
      </c>
      <c r="O395" s="116">
        <v>-500000</v>
      </c>
      <c r="P395" s="116">
        <f>N395+O395</f>
        <v>0</v>
      </c>
      <c r="Q395" s="116">
        <v>500000</v>
      </c>
      <c r="R395" s="102">
        <v>-500000</v>
      </c>
      <c r="S395" s="116">
        <f>Q395+R395</f>
        <v>0</v>
      </c>
    </row>
    <row r="396" spans="1:19" ht="15" customHeight="1">
      <c r="A396" s="60" t="s">
        <v>115</v>
      </c>
      <c r="B396" s="29" t="s">
        <v>77</v>
      </c>
      <c r="C396" s="30" t="s">
        <v>77</v>
      </c>
      <c r="D396" s="29"/>
      <c r="E396" s="29"/>
      <c r="F396" s="39" t="e">
        <f>#REF!+F422</f>
        <v>#REF!</v>
      </c>
      <c r="G396" s="27"/>
      <c r="H396" s="115" t="e">
        <f>H397</f>
        <v>#REF!</v>
      </c>
      <c r="I396" s="115">
        <f aca="true" t="shared" si="40" ref="I396:S396">I397</f>
        <v>0</v>
      </c>
      <c r="J396" s="115">
        <f t="shared" si="40"/>
        <v>0</v>
      </c>
      <c r="K396" s="115">
        <f t="shared" si="40"/>
        <v>0</v>
      </c>
      <c r="L396" s="115">
        <f t="shared" si="40"/>
        <v>0</v>
      </c>
      <c r="M396" s="115">
        <f t="shared" si="40"/>
        <v>0</v>
      </c>
      <c r="N396" s="115">
        <f t="shared" si="40"/>
        <v>117885600</v>
      </c>
      <c r="O396" s="115"/>
      <c r="P396" s="115">
        <f t="shared" si="40"/>
        <v>117885600</v>
      </c>
      <c r="Q396" s="115">
        <f t="shared" si="40"/>
        <v>123779880</v>
      </c>
      <c r="R396" s="102"/>
      <c r="S396" s="115">
        <f t="shared" si="40"/>
        <v>123779880</v>
      </c>
    </row>
    <row r="397" spans="1:19" ht="47.25">
      <c r="A397" s="60" t="s">
        <v>191</v>
      </c>
      <c r="B397" s="29"/>
      <c r="C397" s="31" t="s">
        <v>77</v>
      </c>
      <c r="D397" s="31" t="s">
        <v>194</v>
      </c>
      <c r="E397" s="29"/>
      <c r="F397" s="39"/>
      <c r="G397" s="27"/>
      <c r="H397" s="115" t="e">
        <f aca="true" t="shared" si="41" ref="H397:M397">H398+H419+H421+H422</f>
        <v>#REF!</v>
      </c>
      <c r="I397" s="115">
        <f t="shared" si="41"/>
        <v>0</v>
      </c>
      <c r="J397" s="115">
        <f t="shared" si="41"/>
        <v>0</v>
      </c>
      <c r="K397" s="115">
        <f t="shared" si="41"/>
        <v>0</v>
      </c>
      <c r="L397" s="115">
        <f t="shared" si="41"/>
        <v>0</v>
      </c>
      <c r="M397" s="115">
        <f t="shared" si="41"/>
        <v>0</v>
      </c>
      <c r="N397" s="115">
        <f>N398+N416</f>
        <v>117885600</v>
      </c>
      <c r="O397" s="115"/>
      <c r="P397" s="115">
        <f>P398+P416</f>
        <v>117885600</v>
      </c>
      <c r="Q397" s="115">
        <f>Q398+Q416</f>
        <v>123779880</v>
      </c>
      <c r="R397" s="102"/>
      <c r="S397" s="115">
        <f>S398+S416</f>
        <v>123779880</v>
      </c>
    </row>
    <row r="398" spans="1:19" ht="31.5">
      <c r="A398" s="61" t="s">
        <v>192</v>
      </c>
      <c r="B398" s="29"/>
      <c r="C398" s="31" t="s">
        <v>78</v>
      </c>
      <c r="D398" s="31" t="s">
        <v>488</v>
      </c>
      <c r="E398" s="29"/>
      <c r="F398" s="39"/>
      <c r="G398" s="27"/>
      <c r="H398" s="115" t="e">
        <f>H399+H405+H407+H413</f>
        <v>#REF!</v>
      </c>
      <c r="N398" s="115">
        <f>N399+N405+N407+N413</f>
        <v>104936820</v>
      </c>
      <c r="O398" s="115"/>
      <c r="P398" s="115">
        <f>P399+P405+P407+P413</f>
        <v>104936820</v>
      </c>
      <c r="Q398" s="115">
        <f>Q399+Q405+Q407+Q413</f>
        <v>111936820</v>
      </c>
      <c r="R398" s="102"/>
      <c r="S398" s="115">
        <f>S399+S405+S407+S413</f>
        <v>111936820</v>
      </c>
    </row>
    <row r="399" spans="1:19" ht="39" customHeight="1">
      <c r="A399" s="61" t="s">
        <v>193</v>
      </c>
      <c r="B399" s="29"/>
      <c r="C399" s="29" t="s">
        <v>78</v>
      </c>
      <c r="D399" s="31" t="s">
        <v>190</v>
      </c>
      <c r="E399" s="29"/>
      <c r="F399" s="39" t="e">
        <f>#REF!+F405+#REF!</f>
        <v>#REF!</v>
      </c>
      <c r="G399" s="27"/>
      <c r="H399" s="115">
        <f>H400+H401+H402+H403+H404</f>
        <v>67542540</v>
      </c>
      <c r="N399" s="115">
        <f>N400+N401+N402+N403+N404</f>
        <v>75536360</v>
      </c>
      <c r="O399" s="115"/>
      <c r="P399" s="115">
        <f>P400+P401+P402+P403+P404</f>
        <v>75536360</v>
      </c>
      <c r="Q399" s="115">
        <f>Q400+Q401+Q402+Q403+Q404</f>
        <v>79536360</v>
      </c>
      <c r="R399" s="102"/>
      <c r="S399" s="115">
        <f>S400+S401+S402+S403+S404</f>
        <v>79536360</v>
      </c>
    </row>
    <row r="400" spans="1:19" ht="17.25" customHeight="1">
      <c r="A400" s="41" t="s">
        <v>129</v>
      </c>
      <c r="B400" s="29"/>
      <c r="C400" s="29" t="s">
        <v>78</v>
      </c>
      <c r="D400" s="31" t="s">
        <v>190</v>
      </c>
      <c r="E400" s="29" t="s">
        <v>133</v>
      </c>
      <c r="F400" s="39">
        <v>0</v>
      </c>
      <c r="G400" s="27">
        <v>24738305</v>
      </c>
      <c r="H400" s="115">
        <v>51449207</v>
      </c>
      <c r="N400" s="115">
        <v>59449207</v>
      </c>
      <c r="O400" s="115"/>
      <c r="P400" s="116">
        <f aca="true" t="shared" si="42" ref="P400:P421">N400+O400</f>
        <v>59449207</v>
      </c>
      <c r="Q400" s="115">
        <v>63449207</v>
      </c>
      <c r="R400" s="102"/>
      <c r="S400" s="116">
        <f aca="true" t="shared" si="43" ref="S400:S421">Q400+R400</f>
        <v>63449207</v>
      </c>
    </row>
    <row r="401" spans="1:19" ht="34.5" customHeight="1">
      <c r="A401" s="41" t="s">
        <v>130</v>
      </c>
      <c r="B401" s="29"/>
      <c r="C401" s="29" t="s">
        <v>78</v>
      </c>
      <c r="D401" s="31" t="s">
        <v>190</v>
      </c>
      <c r="E401" s="29" t="s">
        <v>134</v>
      </c>
      <c r="F401" s="39">
        <v>0</v>
      </c>
      <c r="G401" s="27">
        <v>6180</v>
      </c>
      <c r="H401" s="115">
        <f>F401+G401</f>
        <v>6180</v>
      </c>
      <c r="N401" s="115">
        <f>L401+M401</f>
        <v>0</v>
      </c>
      <c r="O401" s="115"/>
      <c r="P401" s="116">
        <f t="shared" si="42"/>
        <v>0</v>
      </c>
      <c r="Q401" s="115">
        <f>M401+N401</f>
        <v>0</v>
      </c>
      <c r="R401" s="102"/>
      <c r="S401" s="116">
        <f t="shared" si="43"/>
        <v>0</v>
      </c>
    </row>
    <row r="402" spans="1:19" ht="35.25" customHeight="1">
      <c r="A402" s="41" t="s">
        <v>131</v>
      </c>
      <c r="B402" s="29"/>
      <c r="C402" s="29" t="s">
        <v>78</v>
      </c>
      <c r="D402" s="31" t="s">
        <v>190</v>
      </c>
      <c r="E402" s="29" t="s">
        <v>135</v>
      </c>
      <c r="F402" s="39">
        <v>0</v>
      </c>
      <c r="G402" s="27">
        <v>257583</v>
      </c>
      <c r="H402" s="115">
        <v>239024</v>
      </c>
      <c r="N402" s="115">
        <v>239024</v>
      </c>
      <c r="O402" s="115"/>
      <c r="P402" s="116">
        <f t="shared" si="42"/>
        <v>239024</v>
      </c>
      <c r="Q402" s="115">
        <v>239024</v>
      </c>
      <c r="R402" s="102"/>
      <c r="S402" s="116">
        <f t="shared" si="43"/>
        <v>239024</v>
      </c>
    </row>
    <row r="403" spans="1:19" ht="35.25" customHeight="1">
      <c r="A403" s="41" t="s">
        <v>161</v>
      </c>
      <c r="B403" s="29"/>
      <c r="C403" s="29" t="s">
        <v>78</v>
      </c>
      <c r="D403" s="31" t="s">
        <v>190</v>
      </c>
      <c r="E403" s="29" t="s">
        <v>136</v>
      </c>
      <c r="F403" s="39">
        <v>0</v>
      </c>
      <c r="G403" s="27">
        <v>14588551</v>
      </c>
      <c r="H403" s="115">
        <v>15348129</v>
      </c>
      <c r="N403" s="115">
        <v>15348129</v>
      </c>
      <c r="O403" s="115"/>
      <c r="P403" s="116">
        <f t="shared" si="42"/>
        <v>15348129</v>
      </c>
      <c r="Q403" s="115">
        <v>15348129</v>
      </c>
      <c r="R403" s="102"/>
      <c r="S403" s="116">
        <f t="shared" si="43"/>
        <v>15348129</v>
      </c>
    </row>
    <row r="404" spans="1:19" ht="26.25" customHeight="1">
      <c r="A404" s="41" t="s">
        <v>140</v>
      </c>
      <c r="B404" s="29"/>
      <c r="C404" s="29" t="s">
        <v>78</v>
      </c>
      <c r="D404" s="31" t="s">
        <v>190</v>
      </c>
      <c r="E404" s="29" t="s">
        <v>141</v>
      </c>
      <c r="F404" s="39">
        <v>0</v>
      </c>
      <c r="G404" s="27">
        <v>150000</v>
      </c>
      <c r="H404" s="115">
        <v>500000</v>
      </c>
      <c r="N404" s="115">
        <v>500000</v>
      </c>
      <c r="O404" s="115"/>
      <c r="P404" s="116">
        <f t="shared" si="42"/>
        <v>500000</v>
      </c>
      <c r="Q404" s="115">
        <v>500000</v>
      </c>
      <c r="R404" s="102"/>
      <c r="S404" s="116">
        <f t="shared" si="43"/>
        <v>500000</v>
      </c>
    </row>
    <row r="405" spans="1:19" ht="45" customHeight="1">
      <c r="A405" s="99" t="s">
        <v>195</v>
      </c>
      <c r="B405" s="29"/>
      <c r="C405" s="29" t="s">
        <v>78</v>
      </c>
      <c r="D405" s="31" t="s">
        <v>198</v>
      </c>
      <c r="E405" s="29"/>
      <c r="F405" s="39" t="e">
        <f>#REF!+F406+#REF!+#REF!+#REF!</f>
        <v>#REF!</v>
      </c>
      <c r="G405" s="27"/>
      <c r="H405" s="115" t="e">
        <f>#REF!+H406+#REF!+#REF!</f>
        <v>#REF!</v>
      </c>
      <c r="I405" s="115" t="e">
        <f>#REF!+I406+#REF!+#REF!</f>
        <v>#REF!</v>
      </c>
      <c r="J405" s="115" t="e">
        <f>#REF!+J406+#REF!+#REF!</f>
        <v>#REF!</v>
      </c>
      <c r="K405" s="115" t="e">
        <f>#REF!+K406+#REF!+#REF!</f>
        <v>#REF!</v>
      </c>
      <c r="L405" s="115" t="e">
        <f>#REF!+L406+#REF!+#REF!</f>
        <v>#REF!</v>
      </c>
      <c r="M405" s="115" t="e">
        <f>#REF!+M406+#REF!+#REF!</f>
        <v>#REF!</v>
      </c>
      <c r="N405" s="115">
        <f>N406</f>
        <v>900000</v>
      </c>
      <c r="O405" s="115"/>
      <c r="P405" s="115">
        <f>P406</f>
        <v>900000</v>
      </c>
      <c r="Q405" s="115">
        <f>Q406</f>
        <v>900000</v>
      </c>
      <c r="R405" s="102"/>
      <c r="S405" s="115">
        <f>S406</f>
        <v>900000</v>
      </c>
    </row>
    <row r="406" spans="1:19" ht="35.25" customHeight="1">
      <c r="A406" s="41" t="s">
        <v>161</v>
      </c>
      <c r="B406" s="29"/>
      <c r="C406" s="29" t="s">
        <v>78</v>
      </c>
      <c r="D406" s="31" t="s">
        <v>198</v>
      </c>
      <c r="E406" s="29" t="s">
        <v>136</v>
      </c>
      <c r="F406" s="39">
        <v>0</v>
      </c>
      <c r="G406" s="27">
        <v>685000</v>
      </c>
      <c r="H406" s="115">
        <v>900000</v>
      </c>
      <c r="N406" s="115">
        <v>900000</v>
      </c>
      <c r="O406" s="115"/>
      <c r="P406" s="116">
        <f t="shared" si="42"/>
        <v>900000</v>
      </c>
      <c r="Q406" s="115">
        <v>900000</v>
      </c>
      <c r="R406" s="102"/>
      <c r="S406" s="116">
        <f t="shared" si="43"/>
        <v>900000</v>
      </c>
    </row>
    <row r="407" spans="1:19" ht="30" customHeight="1">
      <c r="A407" s="99" t="s">
        <v>196</v>
      </c>
      <c r="B407" s="29"/>
      <c r="C407" s="29" t="s">
        <v>78</v>
      </c>
      <c r="D407" s="31" t="s">
        <v>199</v>
      </c>
      <c r="E407" s="29"/>
      <c r="F407" s="39" t="e">
        <f>#REF!</f>
        <v>#REF!</v>
      </c>
      <c r="G407" s="27"/>
      <c r="H407" s="115">
        <f>H408+H410+H411+H412</f>
        <v>18902000</v>
      </c>
      <c r="I407" s="115">
        <f aca="true" t="shared" si="44" ref="I407:P407">I408+I410+I411+I412</f>
        <v>0</v>
      </c>
      <c r="J407" s="115">
        <f t="shared" si="44"/>
        <v>0</v>
      </c>
      <c r="K407" s="115">
        <f t="shared" si="44"/>
        <v>0</v>
      </c>
      <c r="L407" s="115">
        <f t="shared" si="44"/>
        <v>0</v>
      </c>
      <c r="M407" s="115">
        <f t="shared" si="44"/>
        <v>0</v>
      </c>
      <c r="N407" s="115">
        <f t="shared" si="44"/>
        <v>25902000</v>
      </c>
      <c r="O407" s="115"/>
      <c r="P407" s="115">
        <f t="shared" si="44"/>
        <v>25902000</v>
      </c>
      <c r="Q407" s="115">
        <f>Q408+Q410+Q411+Q412</f>
        <v>28902000</v>
      </c>
      <c r="R407" s="102"/>
      <c r="S407" s="115">
        <f>S408+S410+S411+S412</f>
        <v>28902000</v>
      </c>
    </row>
    <row r="408" spans="1:19" ht="25.5" customHeight="1">
      <c r="A408" s="41" t="s">
        <v>129</v>
      </c>
      <c r="B408" s="29"/>
      <c r="C408" s="29" t="s">
        <v>78</v>
      </c>
      <c r="D408" s="31" t="s">
        <v>199</v>
      </c>
      <c r="E408" s="29" t="s">
        <v>133</v>
      </c>
      <c r="F408" s="39">
        <v>0</v>
      </c>
      <c r="G408" s="27">
        <v>8880042</v>
      </c>
      <c r="H408" s="115">
        <v>16096139</v>
      </c>
      <c r="N408" s="115">
        <v>23096139</v>
      </c>
      <c r="O408" s="115"/>
      <c r="P408" s="116">
        <f t="shared" si="42"/>
        <v>23096139</v>
      </c>
      <c r="Q408" s="115">
        <v>26096139</v>
      </c>
      <c r="R408" s="102"/>
      <c r="S408" s="116">
        <f t="shared" si="43"/>
        <v>26096139</v>
      </c>
    </row>
    <row r="409" spans="1:19" ht="18" customHeight="1">
      <c r="A409" s="41" t="s">
        <v>130</v>
      </c>
      <c r="B409" s="29"/>
      <c r="C409" s="29" t="s">
        <v>78</v>
      </c>
      <c r="D409" s="31" t="s">
        <v>199</v>
      </c>
      <c r="E409" s="29" t="s">
        <v>52</v>
      </c>
      <c r="F409" s="39" t="e">
        <f>#REF!+#REF!</f>
        <v>#REF!</v>
      </c>
      <c r="G409" s="27"/>
      <c r="H409" s="115">
        <v>0</v>
      </c>
      <c r="N409" s="115">
        <f>L409+M409</f>
        <v>0</v>
      </c>
      <c r="O409" s="115"/>
      <c r="P409" s="116">
        <f t="shared" si="42"/>
        <v>0</v>
      </c>
      <c r="Q409" s="115">
        <f>M409+N409</f>
        <v>0</v>
      </c>
      <c r="R409" s="102"/>
      <c r="S409" s="116">
        <f t="shared" si="43"/>
        <v>0</v>
      </c>
    </row>
    <row r="410" spans="1:19" ht="31.5">
      <c r="A410" s="41" t="s">
        <v>130</v>
      </c>
      <c r="B410" s="29"/>
      <c r="C410" s="29" t="s">
        <v>78</v>
      </c>
      <c r="D410" s="31" t="s">
        <v>199</v>
      </c>
      <c r="E410" s="29" t="s">
        <v>134</v>
      </c>
      <c r="F410" s="39">
        <v>0</v>
      </c>
      <c r="G410" s="27">
        <v>13327</v>
      </c>
      <c r="H410" s="115">
        <v>20000</v>
      </c>
      <c r="N410" s="115">
        <v>20000</v>
      </c>
      <c r="O410" s="115"/>
      <c r="P410" s="116">
        <f t="shared" si="42"/>
        <v>20000</v>
      </c>
      <c r="Q410" s="115">
        <v>20000</v>
      </c>
      <c r="R410" s="102"/>
      <c r="S410" s="116">
        <f t="shared" si="43"/>
        <v>20000</v>
      </c>
    </row>
    <row r="411" spans="1:19" ht="47.25">
      <c r="A411" s="41" t="s">
        <v>131</v>
      </c>
      <c r="B411" s="29"/>
      <c r="C411" s="29" t="s">
        <v>78</v>
      </c>
      <c r="D411" s="31" t="s">
        <v>199</v>
      </c>
      <c r="E411" s="29" t="s">
        <v>135</v>
      </c>
      <c r="F411" s="39">
        <v>0</v>
      </c>
      <c r="G411" s="27">
        <v>246100</v>
      </c>
      <c r="H411" s="115">
        <v>672655</v>
      </c>
      <c r="N411" s="115">
        <v>672655</v>
      </c>
      <c r="O411" s="115"/>
      <c r="P411" s="116">
        <f t="shared" si="42"/>
        <v>672655</v>
      </c>
      <c r="Q411" s="115">
        <v>672655</v>
      </c>
      <c r="R411" s="102"/>
      <c r="S411" s="116">
        <f t="shared" si="43"/>
        <v>672655</v>
      </c>
    </row>
    <row r="412" spans="1:19" ht="31.5">
      <c r="A412" s="41" t="s">
        <v>161</v>
      </c>
      <c r="B412" s="29"/>
      <c r="C412" s="29" t="s">
        <v>78</v>
      </c>
      <c r="D412" s="31" t="s">
        <v>199</v>
      </c>
      <c r="E412" s="29" t="s">
        <v>136</v>
      </c>
      <c r="F412" s="39">
        <v>0</v>
      </c>
      <c r="G412" s="27">
        <v>1792922</v>
      </c>
      <c r="H412" s="115">
        <v>2113206</v>
      </c>
      <c r="N412" s="115">
        <v>2113206</v>
      </c>
      <c r="O412" s="115"/>
      <c r="P412" s="116">
        <f t="shared" si="42"/>
        <v>2113206</v>
      </c>
      <c r="Q412" s="115">
        <v>2113206</v>
      </c>
      <c r="R412" s="102"/>
      <c r="S412" s="116">
        <f t="shared" si="43"/>
        <v>2113206</v>
      </c>
    </row>
    <row r="413" spans="1:19" ht="33.75" customHeight="1">
      <c r="A413" s="99" t="s">
        <v>197</v>
      </c>
      <c r="B413" s="29"/>
      <c r="C413" s="29" t="s">
        <v>78</v>
      </c>
      <c r="D413" s="31" t="s">
        <v>200</v>
      </c>
      <c r="E413" s="29"/>
      <c r="F413" s="39" t="e">
        <f>F414+F415+#REF!</f>
        <v>#REF!</v>
      </c>
      <c r="G413" s="27"/>
      <c r="H413" s="115" t="e">
        <f>H414+H415+#REF!</f>
        <v>#REF!</v>
      </c>
      <c r="N413" s="115">
        <f>N414+N415</f>
        <v>2598460</v>
      </c>
      <c r="O413" s="115"/>
      <c r="P413" s="115">
        <f>P414+P415</f>
        <v>2598460</v>
      </c>
      <c r="Q413" s="115">
        <f>Q414+Q415</f>
        <v>2598460</v>
      </c>
      <c r="R413" s="102"/>
      <c r="S413" s="115">
        <f>S414+S415</f>
        <v>2598460</v>
      </c>
    </row>
    <row r="414" spans="1:19" ht="19.5" customHeight="1">
      <c r="A414" s="41" t="s">
        <v>129</v>
      </c>
      <c r="B414" s="29"/>
      <c r="C414" s="29" t="s">
        <v>78</v>
      </c>
      <c r="D414" s="31" t="s">
        <v>200</v>
      </c>
      <c r="E414" s="29" t="s">
        <v>133</v>
      </c>
      <c r="F414" s="39">
        <v>0</v>
      </c>
      <c r="G414" s="27">
        <v>1552790</v>
      </c>
      <c r="H414" s="115">
        <v>2572460</v>
      </c>
      <c r="N414" s="115">
        <v>2572460</v>
      </c>
      <c r="O414" s="115"/>
      <c r="P414" s="116">
        <f t="shared" si="42"/>
        <v>2572460</v>
      </c>
      <c r="Q414" s="115">
        <v>2572460</v>
      </c>
      <c r="R414" s="102"/>
      <c r="S414" s="116">
        <f t="shared" si="43"/>
        <v>2572460</v>
      </c>
    </row>
    <row r="415" spans="1:19" ht="33" customHeight="1">
      <c r="A415" s="41" t="s">
        <v>130</v>
      </c>
      <c r="B415" s="29"/>
      <c r="C415" s="29" t="s">
        <v>78</v>
      </c>
      <c r="D415" s="31" t="s">
        <v>200</v>
      </c>
      <c r="E415" s="29" t="s">
        <v>134</v>
      </c>
      <c r="F415" s="39">
        <v>0</v>
      </c>
      <c r="G415" s="27">
        <v>20000</v>
      </c>
      <c r="H415" s="115">
        <v>26000</v>
      </c>
      <c r="N415" s="115">
        <v>26000</v>
      </c>
      <c r="O415" s="115"/>
      <c r="P415" s="116">
        <f t="shared" si="42"/>
        <v>26000</v>
      </c>
      <c r="Q415" s="115">
        <v>26000</v>
      </c>
      <c r="R415" s="102"/>
      <c r="S415" s="116">
        <f t="shared" si="43"/>
        <v>26000</v>
      </c>
    </row>
    <row r="416" spans="1:19" ht="33" customHeight="1">
      <c r="A416" s="60" t="s">
        <v>191</v>
      </c>
      <c r="B416" s="29"/>
      <c r="C416" s="31" t="s">
        <v>114</v>
      </c>
      <c r="D416" s="31" t="s">
        <v>194</v>
      </c>
      <c r="E416" s="29"/>
      <c r="F416" s="39"/>
      <c r="G416" s="27"/>
      <c r="H416" s="115"/>
      <c r="N416" s="115">
        <f>N417+N422</f>
        <v>12948780</v>
      </c>
      <c r="O416" s="115"/>
      <c r="P416" s="115">
        <f>P417+P422</f>
        <v>12948780</v>
      </c>
      <c r="Q416" s="115">
        <f>Q417+Q422</f>
        <v>11843060</v>
      </c>
      <c r="R416" s="102"/>
      <c r="S416" s="115">
        <f>S417+S422</f>
        <v>11843060</v>
      </c>
    </row>
    <row r="417" spans="1:19" ht="33" customHeight="1">
      <c r="A417" s="61" t="s">
        <v>192</v>
      </c>
      <c r="B417" s="29"/>
      <c r="C417" s="31" t="s">
        <v>114</v>
      </c>
      <c r="D417" s="31" t="s">
        <v>488</v>
      </c>
      <c r="E417" s="29"/>
      <c r="F417" s="39"/>
      <c r="G417" s="27"/>
      <c r="H417" s="115"/>
      <c r="N417" s="115">
        <f>N418+N420</f>
        <v>12480780</v>
      </c>
      <c r="O417" s="115"/>
      <c r="P417" s="115">
        <f>P418+P420</f>
        <v>12480780</v>
      </c>
      <c r="Q417" s="115">
        <f>Q419+Q421</f>
        <v>11375060</v>
      </c>
      <c r="R417" s="102"/>
      <c r="S417" s="115">
        <f>S418+S420</f>
        <v>11375060</v>
      </c>
    </row>
    <row r="418" spans="1:19" ht="75" customHeight="1">
      <c r="A418" s="41" t="s">
        <v>203</v>
      </c>
      <c r="B418" s="29"/>
      <c r="C418" s="24" t="s">
        <v>114</v>
      </c>
      <c r="D418" s="31" t="s">
        <v>204</v>
      </c>
      <c r="E418" s="29"/>
      <c r="F418" s="39"/>
      <c r="G418" s="27"/>
      <c r="H418" s="115"/>
      <c r="N418" s="115">
        <f>N419</f>
        <v>11880780</v>
      </c>
      <c r="O418" s="115"/>
      <c r="P418" s="115">
        <f>P419</f>
        <v>11880780</v>
      </c>
      <c r="Q418" s="115"/>
      <c r="R418" s="102"/>
      <c r="S418" s="115">
        <f>S419</f>
        <v>10775060</v>
      </c>
    </row>
    <row r="419" spans="1:19" ht="63.75" customHeight="1">
      <c r="A419" s="132" t="s">
        <v>306</v>
      </c>
      <c r="B419" s="18"/>
      <c r="C419" s="24" t="s">
        <v>114</v>
      </c>
      <c r="D419" s="31" t="s">
        <v>204</v>
      </c>
      <c r="E419" s="24" t="s">
        <v>138</v>
      </c>
      <c r="F419" s="39"/>
      <c r="G419" s="27"/>
      <c r="H419" s="115">
        <v>10450000</v>
      </c>
      <c r="N419" s="115">
        <v>11880780</v>
      </c>
      <c r="O419" s="115"/>
      <c r="P419" s="116">
        <f t="shared" si="42"/>
        <v>11880780</v>
      </c>
      <c r="Q419" s="115">
        <v>10775060</v>
      </c>
      <c r="R419" s="102"/>
      <c r="S419" s="116">
        <f t="shared" si="43"/>
        <v>10775060</v>
      </c>
    </row>
    <row r="420" spans="1:19" ht="63.75" customHeight="1">
      <c r="A420" s="33" t="s">
        <v>201</v>
      </c>
      <c r="B420" s="18"/>
      <c r="C420" s="24" t="s">
        <v>114</v>
      </c>
      <c r="D420" s="31" t="s">
        <v>202</v>
      </c>
      <c r="E420" s="24"/>
      <c r="F420" s="39"/>
      <c r="G420" s="27"/>
      <c r="H420" s="115"/>
      <c r="N420" s="115">
        <f>N421</f>
        <v>600000</v>
      </c>
      <c r="O420" s="115"/>
      <c r="P420" s="116">
        <f>P421</f>
        <v>600000</v>
      </c>
      <c r="Q420" s="115"/>
      <c r="R420" s="102"/>
      <c r="S420" s="116">
        <f>S421</f>
        <v>600000</v>
      </c>
    </row>
    <row r="421" spans="1:19" ht="37.5" customHeight="1">
      <c r="A421" s="41" t="s">
        <v>161</v>
      </c>
      <c r="B421" s="18" t="s">
        <v>171</v>
      </c>
      <c r="C421" s="24" t="s">
        <v>114</v>
      </c>
      <c r="D421" s="31" t="s">
        <v>202</v>
      </c>
      <c r="E421" s="24" t="s">
        <v>136</v>
      </c>
      <c r="F421" s="39">
        <v>0</v>
      </c>
      <c r="G421" s="27">
        <v>0</v>
      </c>
      <c r="H421" s="115">
        <v>600000</v>
      </c>
      <c r="N421" s="115">
        <v>600000</v>
      </c>
      <c r="O421" s="115"/>
      <c r="P421" s="116">
        <f t="shared" si="42"/>
        <v>600000</v>
      </c>
      <c r="Q421" s="115">
        <v>600000</v>
      </c>
      <c r="R421" s="102"/>
      <c r="S421" s="116">
        <f t="shared" si="43"/>
        <v>600000</v>
      </c>
    </row>
    <row r="422" spans="1:19" ht="63">
      <c r="A422" s="33" t="s">
        <v>205</v>
      </c>
      <c r="B422" s="12"/>
      <c r="C422" s="29" t="s">
        <v>114</v>
      </c>
      <c r="D422" s="31" t="s">
        <v>207</v>
      </c>
      <c r="E422" s="29"/>
      <c r="F422" s="39" t="e">
        <f>F423+#REF!+#REF!</f>
        <v>#REF!</v>
      </c>
      <c r="G422" s="27"/>
      <c r="H422" s="115">
        <f>H423</f>
        <v>468000</v>
      </c>
      <c r="N422" s="115">
        <f>N423</f>
        <v>468000</v>
      </c>
      <c r="O422" s="115"/>
      <c r="P422" s="115">
        <f>P423</f>
        <v>468000</v>
      </c>
      <c r="Q422" s="115">
        <f>Q423</f>
        <v>468000</v>
      </c>
      <c r="R422" s="102"/>
      <c r="S422" s="115">
        <f>S423</f>
        <v>468000</v>
      </c>
    </row>
    <row r="423" spans="1:19" ht="31.5">
      <c r="A423" s="55" t="s">
        <v>206</v>
      </c>
      <c r="B423" s="12"/>
      <c r="C423" s="29" t="s">
        <v>114</v>
      </c>
      <c r="D423" s="31" t="s">
        <v>422</v>
      </c>
      <c r="E423" s="29"/>
      <c r="F423" s="39">
        <f>F424+F425+F427</f>
        <v>0</v>
      </c>
      <c r="G423" s="27"/>
      <c r="H423" s="115">
        <f>H424+H425+H427+H426</f>
        <v>468000</v>
      </c>
      <c r="N423" s="115">
        <f>N424+N425+N427+N426</f>
        <v>468000</v>
      </c>
      <c r="O423" s="115"/>
      <c r="P423" s="115">
        <f>P424+P425+P427+P426</f>
        <v>468000</v>
      </c>
      <c r="Q423" s="115">
        <f>Q424+Q425+Q427+Q426</f>
        <v>468000</v>
      </c>
      <c r="R423" s="102"/>
      <c r="S423" s="115">
        <f>S424+S425+S427+S426</f>
        <v>468000</v>
      </c>
    </row>
    <row r="424" spans="1:19" ht="15.75">
      <c r="A424" s="41" t="s">
        <v>129</v>
      </c>
      <c r="B424" s="12"/>
      <c r="C424" s="29" t="s">
        <v>114</v>
      </c>
      <c r="D424" s="31" t="s">
        <v>422</v>
      </c>
      <c r="E424" s="29" t="s">
        <v>146</v>
      </c>
      <c r="F424" s="39">
        <v>0</v>
      </c>
      <c r="G424" s="27">
        <v>426546</v>
      </c>
      <c r="H424" s="115">
        <v>462526</v>
      </c>
      <c r="N424" s="115">
        <v>462526</v>
      </c>
      <c r="O424" s="115"/>
      <c r="P424" s="116">
        <f>N424+O424</f>
        <v>462526</v>
      </c>
      <c r="Q424" s="115">
        <v>462526</v>
      </c>
      <c r="R424" s="102"/>
      <c r="S424" s="116">
        <f>Q424+R424</f>
        <v>462526</v>
      </c>
    </row>
    <row r="425" spans="1:19" ht="33" customHeight="1">
      <c r="A425" s="41" t="s">
        <v>130</v>
      </c>
      <c r="B425" s="12"/>
      <c r="C425" s="29" t="s">
        <v>114</v>
      </c>
      <c r="D425" s="31" t="s">
        <v>422</v>
      </c>
      <c r="E425" s="29" t="s">
        <v>147</v>
      </c>
      <c r="F425" s="39">
        <v>0</v>
      </c>
      <c r="G425" s="27">
        <v>4800</v>
      </c>
      <c r="H425" s="115">
        <v>5000</v>
      </c>
      <c r="N425" s="115">
        <v>5000</v>
      </c>
      <c r="O425" s="115"/>
      <c r="P425" s="116">
        <f>N425+O425</f>
        <v>5000</v>
      </c>
      <c r="Q425" s="115">
        <v>5000</v>
      </c>
      <c r="R425" s="102"/>
      <c r="S425" s="116">
        <f>Q425+R425</f>
        <v>5000</v>
      </c>
    </row>
    <row r="426" spans="1:19" ht="40.5" customHeight="1">
      <c r="A426" s="41" t="s">
        <v>131</v>
      </c>
      <c r="B426" s="12"/>
      <c r="C426" s="31" t="s">
        <v>114</v>
      </c>
      <c r="D426" s="31" t="s">
        <v>422</v>
      </c>
      <c r="E426" s="31" t="s">
        <v>135</v>
      </c>
      <c r="F426" s="39"/>
      <c r="G426" s="27">
        <v>7660</v>
      </c>
      <c r="H426" s="115"/>
      <c r="N426" s="124"/>
      <c r="O426" s="124"/>
      <c r="P426" s="116">
        <f>N426+O426</f>
        <v>0</v>
      </c>
      <c r="Q426" s="124"/>
      <c r="R426" s="102"/>
      <c r="S426" s="116">
        <f>Q426+R426</f>
        <v>0</v>
      </c>
    </row>
    <row r="427" spans="1:19" ht="32.25" customHeight="1">
      <c r="A427" s="41" t="s">
        <v>161</v>
      </c>
      <c r="B427" s="12"/>
      <c r="C427" s="29" t="s">
        <v>114</v>
      </c>
      <c r="D427" s="31" t="s">
        <v>422</v>
      </c>
      <c r="E427" s="29" t="s">
        <v>136</v>
      </c>
      <c r="F427" s="39">
        <v>0</v>
      </c>
      <c r="G427" s="27">
        <v>894</v>
      </c>
      <c r="H427" s="115">
        <v>474</v>
      </c>
      <c r="N427" s="124">
        <v>474</v>
      </c>
      <c r="O427" s="124"/>
      <c r="P427" s="116">
        <f>N427+O427</f>
        <v>474</v>
      </c>
      <c r="Q427" s="124">
        <v>474</v>
      </c>
      <c r="R427" s="102"/>
      <c r="S427" s="116">
        <f>Q427+R427</f>
        <v>474</v>
      </c>
    </row>
    <row r="428" spans="1:19" ht="15.75">
      <c r="A428" s="60" t="s">
        <v>79</v>
      </c>
      <c r="B428" s="29">
        <v>1000</v>
      </c>
      <c r="C428" s="30" t="s">
        <v>103</v>
      </c>
      <c r="D428" s="29"/>
      <c r="E428" s="29"/>
      <c r="F428" s="39" t="e">
        <f>F430+#REF!+#REF!+#REF!</f>
        <v>#REF!</v>
      </c>
      <c r="G428" s="27"/>
      <c r="H428" s="115">
        <f>H430+H432+H441</f>
        <v>90724800</v>
      </c>
      <c r="N428" s="124">
        <f>N429+N432+N441</f>
        <v>87757000</v>
      </c>
      <c r="O428" s="124"/>
      <c r="P428" s="124">
        <f>P429+P432+P441</f>
        <v>87757000</v>
      </c>
      <c r="Q428" s="124">
        <f>Q429+Q432+Q441</f>
        <v>99657000</v>
      </c>
      <c r="R428" s="102"/>
      <c r="S428" s="124">
        <f>S429+S432+S441</f>
        <v>99657000</v>
      </c>
    </row>
    <row r="429" spans="1:19" ht="15.75">
      <c r="A429" s="60" t="s">
        <v>416</v>
      </c>
      <c r="B429" s="29"/>
      <c r="C429" s="30" t="s">
        <v>83</v>
      </c>
      <c r="D429" s="31" t="s">
        <v>181</v>
      </c>
      <c r="E429" s="29"/>
      <c r="F429" s="39"/>
      <c r="G429" s="27"/>
      <c r="H429" s="115">
        <f>H430</f>
        <v>5600800</v>
      </c>
      <c r="N429" s="115">
        <f>N430</f>
        <v>219000</v>
      </c>
      <c r="O429" s="115"/>
      <c r="P429" s="115">
        <f>P430</f>
        <v>219000</v>
      </c>
      <c r="Q429" s="115">
        <f>Q430</f>
        <v>230000</v>
      </c>
      <c r="R429" s="102"/>
      <c r="S429" s="115">
        <f>S430</f>
        <v>230000</v>
      </c>
    </row>
    <row r="430" spans="1:19" ht="15.75">
      <c r="A430" s="61" t="s">
        <v>82</v>
      </c>
      <c r="B430" s="29"/>
      <c r="C430" s="29" t="s">
        <v>83</v>
      </c>
      <c r="D430" s="31" t="s">
        <v>417</v>
      </c>
      <c r="E430" s="29"/>
      <c r="F430" s="39" t="e">
        <f>#REF!</f>
        <v>#REF!</v>
      </c>
      <c r="G430" s="27"/>
      <c r="H430" s="115">
        <f>H431</f>
        <v>5600800</v>
      </c>
      <c r="N430" s="115">
        <f>N431</f>
        <v>219000</v>
      </c>
      <c r="O430" s="115"/>
      <c r="P430" s="115">
        <f>P431</f>
        <v>219000</v>
      </c>
      <c r="Q430" s="115">
        <f>Q431</f>
        <v>230000</v>
      </c>
      <c r="R430" s="102"/>
      <c r="S430" s="115">
        <f>S431</f>
        <v>230000</v>
      </c>
    </row>
    <row r="431" spans="1:19" ht="20.25" customHeight="1">
      <c r="A431" s="61" t="s">
        <v>529</v>
      </c>
      <c r="B431" s="29" t="s">
        <v>116</v>
      </c>
      <c r="C431" s="29" t="s">
        <v>83</v>
      </c>
      <c r="D431" s="31" t="s">
        <v>344</v>
      </c>
      <c r="E431" s="29" t="s">
        <v>154</v>
      </c>
      <c r="F431" s="39">
        <v>0</v>
      </c>
      <c r="G431" s="27">
        <v>4747900</v>
      </c>
      <c r="H431" s="115">
        <v>5600800</v>
      </c>
      <c r="N431" s="115">
        <v>219000</v>
      </c>
      <c r="O431" s="115"/>
      <c r="P431" s="116">
        <f>N431+O431</f>
        <v>219000</v>
      </c>
      <c r="Q431" s="115">
        <v>230000</v>
      </c>
      <c r="R431" s="102"/>
      <c r="S431" s="116">
        <f>Q431+R431</f>
        <v>230000</v>
      </c>
    </row>
    <row r="432" spans="1:19" ht="23.25" customHeight="1">
      <c r="A432" s="64" t="s">
        <v>80</v>
      </c>
      <c r="B432" s="24" t="s">
        <v>110</v>
      </c>
      <c r="C432" s="24">
        <v>1003</v>
      </c>
      <c r="D432" s="24"/>
      <c r="E432" s="24"/>
      <c r="F432" s="80" t="e">
        <f>F433+#REF!+#REF!+#REF!+#REF!+#REF!+#REF!+#REF!+#REF!+#REF!</f>
        <v>#REF!</v>
      </c>
      <c r="G432" s="24"/>
      <c r="H432" s="116">
        <f>H433</f>
        <v>81889611</v>
      </c>
      <c r="I432" s="129"/>
      <c r="J432" s="129"/>
      <c r="K432" s="129"/>
      <c r="L432" s="129"/>
      <c r="M432" s="129"/>
      <c r="N432" s="131">
        <f>N433</f>
        <v>84908985</v>
      </c>
      <c r="O432" s="131"/>
      <c r="P432" s="131">
        <f>P433</f>
        <v>84908985</v>
      </c>
      <c r="Q432" s="131">
        <f>Q433</f>
        <v>96666264</v>
      </c>
      <c r="R432" s="160"/>
      <c r="S432" s="131">
        <f>S433</f>
        <v>96666264</v>
      </c>
    </row>
    <row r="433" spans="1:19" ht="95.25" customHeight="1">
      <c r="A433" s="166" t="s">
        <v>219</v>
      </c>
      <c r="B433" s="24" t="s">
        <v>110</v>
      </c>
      <c r="C433" s="24">
        <v>1003</v>
      </c>
      <c r="D433" s="24" t="s">
        <v>39</v>
      </c>
      <c r="E433" s="24"/>
      <c r="F433" s="80">
        <f>F434+F437</f>
        <v>0</v>
      </c>
      <c r="G433" s="24"/>
      <c r="H433" s="116">
        <f>H434</f>
        <v>81889611</v>
      </c>
      <c r="I433" s="129"/>
      <c r="J433" s="129"/>
      <c r="K433" s="129"/>
      <c r="L433" s="129"/>
      <c r="M433" s="129"/>
      <c r="N433" s="131">
        <f>N434</f>
        <v>84908985</v>
      </c>
      <c r="O433" s="131"/>
      <c r="P433" s="131">
        <f>P434</f>
        <v>84908985</v>
      </c>
      <c r="Q433" s="131">
        <f>Q434</f>
        <v>96666264</v>
      </c>
      <c r="R433" s="160"/>
      <c r="S433" s="131">
        <f>S434</f>
        <v>96666264</v>
      </c>
    </row>
    <row r="434" spans="1:19" ht="83.25" customHeight="1">
      <c r="A434" s="65" t="s">
        <v>273</v>
      </c>
      <c r="B434" s="24" t="s">
        <v>110</v>
      </c>
      <c r="C434" s="24" t="s">
        <v>81</v>
      </c>
      <c r="D434" s="24" t="s">
        <v>274</v>
      </c>
      <c r="E434" s="24"/>
      <c r="F434" s="80">
        <f>F435</f>
        <v>0</v>
      </c>
      <c r="G434" s="24"/>
      <c r="H434" s="116">
        <f>H435+H437+H439</f>
        <v>81889611</v>
      </c>
      <c r="I434" s="129"/>
      <c r="J434" s="129"/>
      <c r="K434" s="129"/>
      <c r="L434" s="129"/>
      <c r="M434" s="129"/>
      <c r="N434" s="131">
        <f>N435+N437+N439</f>
        <v>84908985</v>
      </c>
      <c r="O434" s="131"/>
      <c r="P434" s="131">
        <f>P435+P437+P439</f>
        <v>84908985</v>
      </c>
      <c r="Q434" s="131">
        <f>Q435+Q437+Q439</f>
        <v>96666264</v>
      </c>
      <c r="R434" s="160"/>
      <c r="S434" s="131">
        <f>S435+S437+S439</f>
        <v>96666264</v>
      </c>
    </row>
    <row r="435" spans="1:19" ht="192" customHeight="1">
      <c r="A435" s="65" t="s">
        <v>346</v>
      </c>
      <c r="B435" s="24" t="s">
        <v>110</v>
      </c>
      <c r="C435" s="24" t="s">
        <v>81</v>
      </c>
      <c r="D435" s="24" t="s">
        <v>347</v>
      </c>
      <c r="E435" s="24"/>
      <c r="F435" s="80">
        <v>0</v>
      </c>
      <c r="G435" s="24" t="s">
        <v>348</v>
      </c>
      <c r="H435" s="116">
        <f>H436</f>
        <v>7450539</v>
      </c>
      <c r="I435" s="129"/>
      <c r="J435" s="129"/>
      <c r="K435" s="129"/>
      <c r="L435" s="129"/>
      <c r="M435" s="129"/>
      <c r="N435" s="131">
        <f>N436</f>
        <v>7640267</v>
      </c>
      <c r="O435" s="131"/>
      <c r="P435" s="131">
        <f>P436</f>
        <v>7640267</v>
      </c>
      <c r="Q435" s="131">
        <f>Q436</f>
        <v>8825360</v>
      </c>
      <c r="R435" s="160"/>
      <c r="S435" s="131">
        <f>S436</f>
        <v>8825360</v>
      </c>
    </row>
    <row r="436" spans="1:19" ht="50.25" customHeight="1">
      <c r="A436" s="66" t="s">
        <v>530</v>
      </c>
      <c r="B436" s="24" t="s">
        <v>110</v>
      </c>
      <c r="C436" s="24" t="s">
        <v>81</v>
      </c>
      <c r="D436" s="24" t="s">
        <v>347</v>
      </c>
      <c r="E436" s="24" t="s">
        <v>155</v>
      </c>
      <c r="F436" s="80"/>
      <c r="G436" s="24"/>
      <c r="H436" s="116">
        <v>7450539</v>
      </c>
      <c r="I436" s="129"/>
      <c r="J436" s="129"/>
      <c r="K436" s="129"/>
      <c r="L436" s="129"/>
      <c r="M436" s="129"/>
      <c r="N436" s="131">
        <v>7640267</v>
      </c>
      <c r="O436" s="131"/>
      <c r="P436" s="116">
        <f>N436+O436</f>
        <v>7640267</v>
      </c>
      <c r="Q436" s="131">
        <v>8825360</v>
      </c>
      <c r="R436" s="160"/>
      <c r="S436" s="116">
        <f>Q436+R436</f>
        <v>8825360</v>
      </c>
    </row>
    <row r="437" spans="1:19" ht="204.75" customHeight="1">
      <c r="A437" s="67" t="s">
        <v>349</v>
      </c>
      <c r="B437" s="24" t="s">
        <v>110</v>
      </c>
      <c r="C437" s="24">
        <v>1003</v>
      </c>
      <c r="D437" s="24" t="s">
        <v>350</v>
      </c>
      <c r="E437" s="24"/>
      <c r="F437" s="80">
        <f>F439</f>
        <v>0</v>
      </c>
      <c r="G437" s="24"/>
      <c r="H437" s="116">
        <f>H438</f>
        <v>64545072</v>
      </c>
      <c r="I437" s="129"/>
      <c r="J437" s="129"/>
      <c r="K437" s="129"/>
      <c r="L437" s="129"/>
      <c r="M437" s="129"/>
      <c r="N437" s="131">
        <f>N438</f>
        <v>67004718</v>
      </c>
      <c r="O437" s="131"/>
      <c r="P437" s="131">
        <f>P438</f>
        <v>67004718</v>
      </c>
      <c r="Q437" s="131">
        <f>Q438</f>
        <v>77478904</v>
      </c>
      <c r="R437" s="160"/>
      <c r="S437" s="131">
        <f>S438</f>
        <v>77478904</v>
      </c>
    </row>
    <row r="438" spans="1:19" ht="49.5" customHeight="1">
      <c r="A438" s="66" t="s">
        <v>530</v>
      </c>
      <c r="B438" s="24" t="s">
        <v>110</v>
      </c>
      <c r="C438" s="24" t="s">
        <v>81</v>
      </c>
      <c r="D438" s="24" t="s">
        <v>350</v>
      </c>
      <c r="E438" s="24" t="s">
        <v>155</v>
      </c>
      <c r="F438" s="80"/>
      <c r="G438" s="24"/>
      <c r="H438" s="116">
        <v>64545072</v>
      </c>
      <c r="I438" s="129"/>
      <c r="J438" s="129"/>
      <c r="K438" s="129"/>
      <c r="L438" s="129"/>
      <c r="M438" s="129"/>
      <c r="N438" s="131">
        <v>67004718</v>
      </c>
      <c r="O438" s="131"/>
      <c r="P438" s="116">
        <f>N438+O438</f>
        <v>67004718</v>
      </c>
      <c r="Q438" s="131">
        <v>77478904</v>
      </c>
      <c r="R438" s="160"/>
      <c r="S438" s="116">
        <f>Q438+R438</f>
        <v>77478904</v>
      </c>
    </row>
    <row r="439" spans="1:19" ht="208.5" customHeight="1">
      <c r="A439" s="67" t="s">
        <v>351</v>
      </c>
      <c r="B439" s="24" t="s">
        <v>110</v>
      </c>
      <c r="C439" s="24" t="s">
        <v>81</v>
      </c>
      <c r="D439" s="24" t="s">
        <v>352</v>
      </c>
      <c r="E439" s="24"/>
      <c r="F439" s="80">
        <v>0</v>
      </c>
      <c r="G439" s="24" t="s">
        <v>353</v>
      </c>
      <c r="H439" s="116">
        <f>H440</f>
        <v>9894000</v>
      </c>
      <c r="I439" s="129"/>
      <c r="J439" s="129"/>
      <c r="K439" s="129"/>
      <c r="L439" s="129"/>
      <c r="M439" s="129"/>
      <c r="N439" s="131">
        <f>N440</f>
        <v>10264000</v>
      </c>
      <c r="O439" s="131"/>
      <c r="P439" s="131">
        <f>P440</f>
        <v>10264000</v>
      </c>
      <c r="Q439" s="131">
        <f>Q440</f>
        <v>10362000</v>
      </c>
      <c r="R439" s="160"/>
      <c r="S439" s="131">
        <f>S440</f>
        <v>10362000</v>
      </c>
    </row>
    <row r="440" spans="1:19" s="69" customFormat="1" ht="49.5" customHeight="1">
      <c r="A440" s="64" t="s">
        <v>142</v>
      </c>
      <c r="B440" s="31" t="s">
        <v>110</v>
      </c>
      <c r="C440" s="31" t="s">
        <v>81</v>
      </c>
      <c r="D440" s="31" t="s">
        <v>352</v>
      </c>
      <c r="E440" s="31" t="s">
        <v>143</v>
      </c>
      <c r="F440" s="154"/>
      <c r="G440" s="31"/>
      <c r="H440" s="104">
        <v>9894000</v>
      </c>
      <c r="I440" s="105"/>
      <c r="J440" s="105"/>
      <c r="K440" s="105"/>
      <c r="L440" s="105"/>
      <c r="M440" s="105"/>
      <c r="N440" s="107">
        <v>10264000</v>
      </c>
      <c r="O440" s="107"/>
      <c r="P440" s="116">
        <f>N440+O440</f>
        <v>10264000</v>
      </c>
      <c r="Q440" s="107">
        <v>10362000</v>
      </c>
      <c r="R440" s="78"/>
      <c r="S440" s="116">
        <f>Q440+R440</f>
        <v>10362000</v>
      </c>
    </row>
    <row r="441" spans="1:19" s="69" customFormat="1" ht="32.25" customHeight="1">
      <c r="A441" s="64" t="s">
        <v>354</v>
      </c>
      <c r="B441" s="31" t="s">
        <v>110</v>
      </c>
      <c r="C441" s="31" t="s">
        <v>123</v>
      </c>
      <c r="D441" s="31"/>
      <c r="E441" s="31"/>
      <c r="F441" s="154"/>
      <c r="G441" s="31"/>
      <c r="H441" s="104">
        <f>H445+H442</f>
        <v>3234389</v>
      </c>
      <c r="I441" s="105"/>
      <c r="J441" s="105"/>
      <c r="K441" s="105"/>
      <c r="L441" s="105"/>
      <c r="M441" s="105"/>
      <c r="N441" s="107">
        <f>N442+N445</f>
        <v>2629015</v>
      </c>
      <c r="O441" s="107"/>
      <c r="P441" s="107">
        <f>P442+P445</f>
        <v>2629015</v>
      </c>
      <c r="Q441" s="107">
        <f>Q442+Q445</f>
        <v>2760736</v>
      </c>
      <c r="R441" s="78"/>
      <c r="S441" s="107">
        <f>S442+S445</f>
        <v>2760736</v>
      </c>
    </row>
    <row r="442" spans="1:19" s="69" customFormat="1" ht="116.25" customHeight="1">
      <c r="A442" s="57" t="s">
        <v>371</v>
      </c>
      <c r="B442" s="31"/>
      <c r="C442" s="31" t="s">
        <v>123</v>
      </c>
      <c r="D442" s="31" t="s">
        <v>374</v>
      </c>
      <c r="E442" s="31"/>
      <c r="F442" s="154"/>
      <c r="G442" s="31"/>
      <c r="H442" s="104">
        <f>H443</f>
        <v>209000</v>
      </c>
      <c r="I442" s="105"/>
      <c r="J442" s="105"/>
      <c r="K442" s="105"/>
      <c r="L442" s="105"/>
      <c r="M442" s="105"/>
      <c r="N442" s="104">
        <f>N443</f>
        <v>0</v>
      </c>
      <c r="O442" s="104"/>
      <c r="P442" s="104">
        <f>P443</f>
        <v>0</v>
      </c>
      <c r="Q442" s="104">
        <f>Q443</f>
        <v>0</v>
      </c>
      <c r="R442" s="78"/>
      <c r="S442" s="104">
        <f>S443</f>
        <v>0</v>
      </c>
    </row>
    <row r="443" spans="1:19" s="69" customFormat="1" ht="54.75" customHeight="1">
      <c r="A443" s="36" t="s">
        <v>491</v>
      </c>
      <c r="B443" s="31"/>
      <c r="C443" s="31" t="s">
        <v>123</v>
      </c>
      <c r="D443" s="31" t="s">
        <v>372</v>
      </c>
      <c r="E443" s="31"/>
      <c r="F443" s="154"/>
      <c r="G443" s="31"/>
      <c r="H443" s="104">
        <f>H444</f>
        <v>209000</v>
      </c>
      <c r="I443" s="105"/>
      <c r="J443" s="105"/>
      <c r="K443" s="105"/>
      <c r="L443" s="105"/>
      <c r="M443" s="105"/>
      <c r="N443" s="104">
        <f>N444</f>
        <v>0</v>
      </c>
      <c r="O443" s="104"/>
      <c r="P443" s="104">
        <f>P444</f>
        <v>0</v>
      </c>
      <c r="Q443" s="104">
        <f>Q444</f>
        <v>0</v>
      </c>
      <c r="R443" s="78"/>
      <c r="S443" s="104">
        <f>S444</f>
        <v>0</v>
      </c>
    </row>
    <row r="444" spans="1:19" s="69" customFormat="1" ht="30" customHeight="1">
      <c r="A444" s="41" t="s">
        <v>140</v>
      </c>
      <c r="B444" s="31"/>
      <c r="C444" s="31" t="s">
        <v>123</v>
      </c>
      <c r="D444" s="31" t="s">
        <v>375</v>
      </c>
      <c r="E444" s="31" t="s">
        <v>141</v>
      </c>
      <c r="F444" s="154"/>
      <c r="G444" s="31"/>
      <c r="H444" s="104">
        <v>209000</v>
      </c>
      <c r="I444" s="105"/>
      <c r="J444" s="105"/>
      <c r="K444" s="105"/>
      <c r="L444" s="105"/>
      <c r="M444" s="105"/>
      <c r="N444" s="104">
        <v>0</v>
      </c>
      <c r="O444" s="104"/>
      <c r="P444" s="116">
        <f>N444+O444</f>
        <v>0</v>
      </c>
      <c r="Q444" s="104">
        <v>0</v>
      </c>
      <c r="R444" s="78"/>
      <c r="S444" s="116">
        <f>Q444+R444</f>
        <v>0</v>
      </c>
    </row>
    <row r="445" spans="1:19" s="69" customFormat="1" ht="33" customHeight="1">
      <c r="A445" s="65" t="s">
        <v>355</v>
      </c>
      <c r="B445" s="31" t="s">
        <v>110</v>
      </c>
      <c r="C445" s="31" t="s">
        <v>123</v>
      </c>
      <c r="D445" s="31" t="s">
        <v>222</v>
      </c>
      <c r="E445" s="31"/>
      <c r="F445" s="154"/>
      <c r="G445" s="31"/>
      <c r="H445" s="104">
        <f>H446+H450</f>
        <v>3025389</v>
      </c>
      <c r="I445" s="105"/>
      <c r="J445" s="105"/>
      <c r="K445" s="105"/>
      <c r="L445" s="105"/>
      <c r="M445" s="105"/>
      <c r="N445" s="107">
        <f>N446+N450</f>
        <v>2629015</v>
      </c>
      <c r="O445" s="107"/>
      <c r="P445" s="107">
        <f>P446+P450</f>
        <v>2629015</v>
      </c>
      <c r="Q445" s="107">
        <f>Q446+Q450</f>
        <v>2760736</v>
      </c>
      <c r="R445" s="78"/>
      <c r="S445" s="107">
        <f>S446+S450</f>
        <v>2760736</v>
      </c>
    </row>
    <row r="446" spans="1:19" s="69" customFormat="1" ht="21" customHeight="1">
      <c r="A446" s="70" t="s">
        <v>356</v>
      </c>
      <c r="B446" s="31" t="s">
        <v>110</v>
      </c>
      <c r="C446" s="31" t="s">
        <v>123</v>
      </c>
      <c r="D446" s="31" t="s">
        <v>357</v>
      </c>
      <c r="E446" s="31"/>
      <c r="F446" s="154"/>
      <c r="G446" s="31"/>
      <c r="H446" s="104">
        <f>H447+H448+H449</f>
        <v>346461</v>
      </c>
      <c r="I446" s="105"/>
      <c r="J446" s="105"/>
      <c r="K446" s="105"/>
      <c r="L446" s="105"/>
      <c r="M446" s="105"/>
      <c r="N446" s="107">
        <f>N447+N448+N449</f>
        <v>390733</v>
      </c>
      <c r="O446" s="107"/>
      <c r="P446" s="107">
        <f>P447+P448+P449</f>
        <v>390733</v>
      </c>
      <c r="Q446" s="107">
        <f>Q447+Q448+Q449</f>
        <v>410640</v>
      </c>
      <c r="R446" s="78"/>
      <c r="S446" s="107">
        <f>S447+S448+S449</f>
        <v>410640</v>
      </c>
    </row>
    <row r="447" spans="1:19" s="69" customFormat="1" ht="34.5" customHeight="1">
      <c r="A447" s="64" t="s">
        <v>130</v>
      </c>
      <c r="B447" s="31" t="s">
        <v>110</v>
      </c>
      <c r="C447" s="31" t="s">
        <v>123</v>
      </c>
      <c r="D447" s="31" t="s">
        <v>357</v>
      </c>
      <c r="E447" s="31" t="s">
        <v>134</v>
      </c>
      <c r="F447" s="154"/>
      <c r="G447" s="31"/>
      <c r="H447" s="104">
        <v>600</v>
      </c>
      <c r="I447" s="105"/>
      <c r="J447" s="105"/>
      <c r="K447" s="105"/>
      <c r="L447" s="105"/>
      <c r="M447" s="105"/>
      <c r="N447" s="107">
        <v>600</v>
      </c>
      <c r="O447" s="107"/>
      <c r="P447" s="116">
        <f aca="true" t="shared" si="45" ref="P447:P454">N447+O447</f>
        <v>600</v>
      </c>
      <c r="Q447" s="107">
        <v>600</v>
      </c>
      <c r="R447" s="78"/>
      <c r="S447" s="116">
        <f aca="true" t="shared" si="46" ref="S447:S454">Q447+R447</f>
        <v>600</v>
      </c>
    </row>
    <row r="448" spans="1:19" s="69" customFormat="1" ht="39" customHeight="1">
      <c r="A448" s="71" t="s">
        <v>131</v>
      </c>
      <c r="B448" s="31" t="s">
        <v>110</v>
      </c>
      <c r="C448" s="31" t="s">
        <v>123</v>
      </c>
      <c r="D448" s="31" t="s">
        <v>357</v>
      </c>
      <c r="E448" s="31" t="s">
        <v>135</v>
      </c>
      <c r="F448" s="154"/>
      <c r="G448" s="31"/>
      <c r="H448" s="104">
        <v>94796</v>
      </c>
      <c r="I448" s="105"/>
      <c r="J448" s="105"/>
      <c r="K448" s="105"/>
      <c r="L448" s="105"/>
      <c r="M448" s="105"/>
      <c r="N448" s="107">
        <v>97680</v>
      </c>
      <c r="O448" s="107"/>
      <c r="P448" s="116">
        <f t="shared" si="45"/>
        <v>97680</v>
      </c>
      <c r="Q448" s="107">
        <v>102660</v>
      </c>
      <c r="R448" s="78"/>
      <c r="S448" s="116">
        <f t="shared" si="46"/>
        <v>102660</v>
      </c>
    </row>
    <row r="449" spans="1:19" s="69" customFormat="1" ht="36.75" customHeight="1">
      <c r="A449" s="71" t="s">
        <v>161</v>
      </c>
      <c r="B449" s="31" t="s">
        <v>110</v>
      </c>
      <c r="C449" s="31" t="s">
        <v>123</v>
      </c>
      <c r="D449" s="31" t="s">
        <v>357</v>
      </c>
      <c r="E449" s="31" t="s">
        <v>136</v>
      </c>
      <c r="F449" s="154"/>
      <c r="G449" s="31"/>
      <c r="H449" s="104">
        <v>251065</v>
      </c>
      <c r="I449" s="105"/>
      <c r="J449" s="105"/>
      <c r="K449" s="105"/>
      <c r="L449" s="105"/>
      <c r="M449" s="105"/>
      <c r="N449" s="107">
        <v>292453</v>
      </c>
      <c r="O449" s="107"/>
      <c r="P449" s="116">
        <f t="shared" si="45"/>
        <v>292453</v>
      </c>
      <c r="Q449" s="107">
        <v>307380</v>
      </c>
      <c r="R449" s="78"/>
      <c r="S449" s="116">
        <f t="shared" si="46"/>
        <v>307380</v>
      </c>
    </row>
    <row r="450" spans="1:19" s="69" customFormat="1" ht="21" customHeight="1">
      <c r="A450" s="70" t="s">
        <v>358</v>
      </c>
      <c r="B450" s="31" t="s">
        <v>110</v>
      </c>
      <c r="C450" s="31" t="s">
        <v>123</v>
      </c>
      <c r="D450" s="31" t="s">
        <v>359</v>
      </c>
      <c r="E450" s="31"/>
      <c r="F450" s="154"/>
      <c r="G450" s="31"/>
      <c r="H450" s="104">
        <f>H451+H452+H453+H454</f>
        <v>2678928</v>
      </c>
      <c r="I450" s="105"/>
      <c r="J450" s="105"/>
      <c r="K450" s="105"/>
      <c r="L450" s="105"/>
      <c r="M450" s="105"/>
      <c r="N450" s="107">
        <f>N451+N452+N453+N454</f>
        <v>2238282</v>
      </c>
      <c r="O450" s="107"/>
      <c r="P450" s="107">
        <f>P451+P452+P453+P454</f>
        <v>2238282</v>
      </c>
      <c r="Q450" s="107">
        <f>Q451+Q452+Q453+Q454</f>
        <v>2350096</v>
      </c>
      <c r="R450" s="78"/>
      <c r="S450" s="107">
        <f>S451+S452+S453+S454</f>
        <v>2350096</v>
      </c>
    </row>
    <row r="451" spans="1:19" s="69" customFormat="1" ht="23.25" customHeight="1">
      <c r="A451" s="64" t="s">
        <v>129</v>
      </c>
      <c r="B451" s="31" t="s">
        <v>110</v>
      </c>
      <c r="C451" s="31" t="s">
        <v>123</v>
      </c>
      <c r="D451" s="31" t="s">
        <v>359</v>
      </c>
      <c r="E451" s="31" t="s">
        <v>133</v>
      </c>
      <c r="F451" s="154"/>
      <c r="G451" s="31"/>
      <c r="H451" s="104">
        <v>217695</v>
      </c>
      <c r="I451" s="105"/>
      <c r="J451" s="105"/>
      <c r="K451" s="105"/>
      <c r="L451" s="105"/>
      <c r="M451" s="105"/>
      <c r="N451" s="107">
        <v>179060</v>
      </c>
      <c r="O451" s="107"/>
      <c r="P451" s="116">
        <f t="shared" si="45"/>
        <v>179060</v>
      </c>
      <c r="Q451" s="107">
        <v>290874</v>
      </c>
      <c r="R451" s="78"/>
      <c r="S451" s="116">
        <f t="shared" si="46"/>
        <v>290874</v>
      </c>
    </row>
    <row r="452" spans="1:19" s="69" customFormat="1" ht="33" customHeight="1">
      <c r="A452" s="64" t="s">
        <v>130</v>
      </c>
      <c r="B452" s="31" t="s">
        <v>110</v>
      </c>
      <c r="C452" s="31" t="s">
        <v>123</v>
      </c>
      <c r="D452" s="31" t="s">
        <v>359</v>
      </c>
      <c r="E452" s="31" t="s">
        <v>134</v>
      </c>
      <c r="F452" s="154"/>
      <c r="G452" s="31"/>
      <c r="H452" s="104">
        <v>2000</v>
      </c>
      <c r="I452" s="105"/>
      <c r="J452" s="105"/>
      <c r="K452" s="105"/>
      <c r="L452" s="105"/>
      <c r="M452" s="105"/>
      <c r="N452" s="107">
        <v>2000</v>
      </c>
      <c r="O452" s="107"/>
      <c r="P452" s="116">
        <f t="shared" si="45"/>
        <v>2000</v>
      </c>
      <c r="Q452" s="107">
        <v>2000</v>
      </c>
      <c r="R452" s="78"/>
      <c r="S452" s="116">
        <f t="shared" si="46"/>
        <v>2000</v>
      </c>
    </row>
    <row r="453" spans="1:19" s="69" customFormat="1" ht="50.25" customHeight="1">
      <c r="A453" s="71" t="s">
        <v>131</v>
      </c>
      <c r="B453" s="31" t="s">
        <v>110</v>
      </c>
      <c r="C453" s="31" t="s">
        <v>123</v>
      </c>
      <c r="D453" s="31" t="s">
        <v>359</v>
      </c>
      <c r="E453" s="31" t="s">
        <v>135</v>
      </c>
      <c r="F453" s="154"/>
      <c r="G453" s="31"/>
      <c r="H453" s="104">
        <v>438443</v>
      </c>
      <c r="I453" s="105"/>
      <c r="J453" s="105"/>
      <c r="K453" s="105"/>
      <c r="L453" s="105"/>
      <c r="M453" s="105"/>
      <c r="N453" s="107">
        <v>356132</v>
      </c>
      <c r="O453" s="107"/>
      <c r="P453" s="116">
        <f t="shared" si="45"/>
        <v>356132</v>
      </c>
      <c r="Q453" s="107">
        <v>356132</v>
      </c>
      <c r="R453" s="78"/>
      <c r="S453" s="116">
        <f t="shared" si="46"/>
        <v>356132</v>
      </c>
    </row>
    <row r="454" spans="1:19" s="69" customFormat="1" ht="36.75" customHeight="1">
      <c r="A454" s="71" t="s">
        <v>161</v>
      </c>
      <c r="B454" s="31" t="s">
        <v>110</v>
      </c>
      <c r="C454" s="31" t="s">
        <v>123</v>
      </c>
      <c r="D454" s="31" t="s">
        <v>359</v>
      </c>
      <c r="E454" s="31" t="s">
        <v>136</v>
      </c>
      <c r="F454" s="154"/>
      <c r="G454" s="31"/>
      <c r="H454" s="104">
        <v>2020790</v>
      </c>
      <c r="I454" s="105"/>
      <c r="J454" s="105"/>
      <c r="K454" s="105"/>
      <c r="L454" s="105"/>
      <c r="M454" s="105"/>
      <c r="N454" s="107">
        <v>1701090</v>
      </c>
      <c r="O454" s="107"/>
      <c r="P454" s="116">
        <f t="shared" si="45"/>
        <v>1701090</v>
      </c>
      <c r="Q454" s="107">
        <v>1701090</v>
      </c>
      <c r="R454" s="78"/>
      <c r="S454" s="116">
        <f t="shared" si="46"/>
        <v>1701090</v>
      </c>
    </row>
    <row r="455" spans="1:19" ht="15.75">
      <c r="A455" s="50" t="s">
        <v>121</v>
      </c>
      <c r="B455" s="23"/>
      <c r="C455" s="26" t="s">
        <v>122</v>
      </c>
      <c r="D455" s="23"/>
      <c r="E455" s="23"/>
      <c r="F455" s="39" t="e">
        <f>F456+#REF!</f>
        <v>#REF!</v>
      </c>
      <c r="G455" s="27"/>
      <c r="H455" s="115">
        <f>H456</f>
        <v>1465000</v>
      </c>
      <c r="N455" s="124">
        <f>N456</f>
        <v>1707000</v>
      </c>
      <c r="O455" s="124"/>
      <c r="P455" s="124">
        <f>P456</f>
        <v>1707000</v>
      </c>
      <c r="Q455" s="124">
        <f>Q456</f>
        <v>1793000</v>
      </c>
      <c r="R455" s="102"/>
      <c r="S455" s="124">
        <f>S456</f>
        <v>1793000</v>
      </c>
    </row>
    <row r="456" spans="1:19" ht="81.75" customHeight="1">
      <c r="A456" s="161" t="s">
        <v>217</v>
      </c>
      <c r="B456" s="29"/>
      <c r="C456" s="29" t="s">
        <v>122</v>
      </c>
      <c r="D456" s="31" t="s">
        <v>215</v>
      </c>
      <c r="E456" s="29"/>
      <c r="F456" s="39" t="e">
        <f>F457</f>
        <v>#REF!</v>
      </c>
      <c r="G456" s="27"/>
      <c r="H456" s="115">
        <f>H457</f>
        <v>1465000</v>
      </c>
      <c r="N456" s="115">
        <f>N457</f>
        <v>1707000</v>
      </c>
      <c r="O456" s="115"/>
      <c r="P456" s="115">
        <f>P457</f>
        <v>1707000</v>
      </c>
      <c r="Q456" s="115">
        <f>Q457</f>
        <v>1793000</v>
      </c>
      <c r="R456" s="102"/>
      <c r="S456" s="115">
        <f>S457</f>
        <v>1793000</v>
      </c>
    </row>
    <row r="457" spans="1:19" ht="66" customHeight="1">
      <c r="A457" s="36" t="s">
        <v>216</v>
      </c>
      <c r="B457" s="29"/>
      <c r="C457" s="29" t="s">
        <v>122</v>
      </c>
      <c r="D457" s="40" t="s">
        <v>489</v>
      </c>
      <c r="E457" s="29"/>
      <c r="F457" s="39" t="e">
        <f>#REF!+#REF!+F458</f>
        <v>#REF!</v>
      </c>
      <c r="G457" s="27"/>
      <c r="H457" s="115">
        <f>H458+H459</f>
        <v>1465000</v>
      </c>
      <c r="N457" s="115">
        <f>N458+N459</f>
        <v>1707000</v>
      </c>
      <c r="O457" s="115"/>
      <c r="P457" s="115">
        <f>P458+P459</f>
        <v>1707000</v>
      </c>
      <c r="Q457" s="115">
        <f>Q458+Q459</f>
        <v>1793000</v>
      </c>
      <c r="R457" s="102"/>
      <c r="S457" s="115">
        <f>S458+S459</f>
        <v>1793000</v>
      </c>
    </row>
    <row r="458" spans="1:19" ht="30.75" customHeight="1">
      <c r="A458" s="41" t="s">
        <v>161</v>
      </c>
      <c r="B458" s="29"/>
      <c r="C458" s="29" t="s">
        <v>122</v>
      </c>
      <c r="D458" s="40" t="s">
        <v>218</v>
      </c>
      <c r="E458" s="31" t="s">
        <v>136</v>
      </c>
      <c r="F458" s="39">
        <v>0</v>
      </c>
      <c r="G458" s="27">
        <v>722000</v>
      </c>
      <c r="H458" s="125">
        <v>38674</v>
      </c>
      <c r="N458" s="125">
        <v>38674</v>
      </c>
      <c r="O458" s="125"/>
      <c r="P458" s="116">
        <f>N458+O458</f>
        <v>38674</v>
      </c>
      <c r="Q458" s="125">
        <v>38674</v>
      </c>
      <c r="R458" s="102"/>
      <c r="S458" s="116">
        <f>Q458+R458</f>
        <v>38674</v>
      </c>
    </row>
    <row r="459" spans="1:19" ht="21" customHeight="1">
      <c r="A459" s="41" t="s">
        <v>140</v>
      </c>
      <c r="B459" s="29" t="s">
        <v>110</v>
      </c>
      <c r="C459" s="29" t="s">
        <v>122</v>
      </c>
      <c r="D459" s="40" t="s">
        <v>218</v>
      </c>
      <c r="E459" s="29" t="s">
        <v>141</v>
      </c>
      <c r="F459" s="39">
        <v>0</v>
      </c>
      <c r="G459" s="27">
        <v>730000</v>
      </c>
      <c r="H459" s="125">
        <v>1426326</v>
      </c>
      <c r="N459" s="125">
        <v>1668326</v>
      </c>
      <c r="O459" s="125"/>
      <c r="P459" s="116">
        <f>N459+O459</f>
        <v>1668326</v>
      </c>
      <c r="Q459" s="125">
        <v>1754326</v>
      </c>
      <c r="R459" s="102"/>
      <c r="S459" s="116">
        <f>Q459+R459</f>
        <v>1754326</v>
      </c>
    </row>
    <row r="460" spans="1:19" ht="75.75" customHeight="1">
      <c r="A460" s="56" t="s">
        <v>409</v>
      </c>
      <c r="B460" s="29" t="s">
        <v>110</v>
      </c>
      <c r="C460" s="30" t="s">
        <v>119</v>
      </c>
      <c r="D460" s="31" t="s">
        <v>182</v>
      </c>
      <c r="E460" s="29"/>
      <c r="F460" s="80" t="e">
        <f>#REF!</f>
        <v>#REF!</v>
      </c>
      <c r="G460" s="78"/>
      <c r="H460" s="126">
        <f>H461</f>
        <v>1517300</v>
      </c>
      <c r="N460" s="126">
        <f>N461</f>
        <v>78110</v>
      </c>
      <c r="O460" s="126"/>
      <c r="P460" s="126">
        <f>P461</f>
        <v>78110</v>
      </c>
      <c r="Q460" s="126">
        <f>Q461</f>
        <v>2000</v>
      </c>
      <c r="R460" s="102"/>
      <c r="S460" s="126">
        <f>S461</f>
        <v>2000</v>
      </c>
    </row>
    <row r="461" spans="1:19" ht="38.25" customHeight="1">
      <c r="A461" s="33" t="s">
        <v>186</v>
      </c>
      <c r="B461" s="29"/>
      <c r="C461" s="31" t="s">
        <v>120</v>
      </c>
      <c r="D461" s="31" t="s">
        <v>418</v>
      </c>
      <c r="E461" s="29"/>
      <c r="F461" s="80"/>
      <c r="G461" s="78"/>
      <c r="H461" s="126">
        <f>H462</f>
        <v>1517300</v>
      </c>
      <c r="N461" s="126">
        <f>N462</f>
        <v>78110</v>
      </c>
      <c r="O461" s="126"/>
      <c r="P461" s="126">
        <f>P462</f>
        <v>78110</v>
      </c>
      <c r="Q461" s="126">
        <f>Q462</f>
        <v>2000</v>
      </c>
      <c r="R461" s="102"/>
      <c r="S461" s="126">
        <f>S462</f>
        <v>2000</v>
      </c>
    </row>
    <row r="462" spans="1:19" ht="27" customHeight="1">
      <c r="A462" s="41" t="s">
        <v>124</v>
      </c>
      <c r="B462" s="29" t="s">
        <v>110</v>
      </c>
      <c r="C462" s="29" t="s">
        <v>120</v>
      </c>
      <c r="D462" s="31" t="s">
        <v>419</v>
      </c>
      <c r="E462" s="29" t="s">
        <v>152</v>
      </c>
      <c r="F462" s="80">
        <v>0</v>
      </c>
      <c r="G462" s="78">
        <v>2987900</v>
      </c>
      <c r="H462" s="126">
        <v>1517300</v>
      </c>
      <c r="N462" s="126">
        <v>78110</v>
      </c>
      <c r="O462" s="126"/>
      <c r="P462" s="116">
        <f>N462+O462</f>
        <v>78110</v>
      </c>
      <c r="Q462" s="126">
        <v>2000</v>
      </c>
      <c r="R462" s="102"/>
      <c r="S462" s="116">
        <f>Q462+R462</f>
        <v>2000</v>
      </c>
    </row>
    <row r="463" spans="1:19" ht="18.75" customHeight="1">
      <c r="A463" s="167" t="s">
        <v>104</v>
      </c>
      <c r="B463" s="168"/>
      <c r="C463" s="168"/>
      <c r="D463" s="168"/>
      <c r="E463" s="168"/>
      <c r="F463" s="169" t="e">
        <f>F7+#REF!+F128+F160+F205+F258+#REF!+F396+F428+F460+F455</f>
        <v>#REF!</v>
      </c>
      <c r="G463" s="170"/>
      <c r="H463" s="171" t="e">
        <f>H7+H122+H128+H160+H205+H258+H269+H396+H428+H460+H455</f>
        <v>#REF!</v>
      </c>
      <c r="I463" s="172"/>
      <c r="J463" s="172"/>
      <c r="K463" s="172"/>
      <c r="L463" s="172"/>
      <c r="M463" s="172"/>
      <c r="N463" s="171">
        <f>N7+N122+N128+N160+N205+N258+N269+N396+N428+N455+N460</f>
        <v>915129339</v>
      </c>
      <c r="O463" s="171"/>
      <c r="P463" s="190">
        <f>P7+P122+P128+P160+P205+P258+P269+P396+P428+P455+P460</f>
        <v>914161539</v>
      </c>
      <c r="Q463" s="190">
        <f>Q7+Q122+Q128+Q160+Q205+Q258+Q269+Q396+Q428+Q455+Q460</f>
        <v>971140721</v>
      </c>
      <c r="R463" s="191"/>
      <c r="S463" s="190">
        <f>S7+S122+S128+S160+S205+S258+S269+S396+S428+S455+S460</f>
        <v>970640721</v>
      </c>
    </row>
    <row r="464" spans="1:19" ht="18.75" customHeight="1">
      <c r="A464" s="228" t="s">
        <v>481</v>
      </c>
      <c r="B464" s="229"/>
      <c r="C464" s="229"/>
      <c r="D464" s="229"/>
      <c r="E464" s="230"/>
      <c r="F464" s="246" t="s">
        <v>102</v>
      </c>
      <c r="G464" s="20"/>
      <c r="H464" s="221" t="s">
        <v>102</v>
      </c>
      <c r="N464" s="226" t="s">
        <v>515</v>
      </c>
      <c r="O464" s="227"/>
      <c r="P464" s="227"/>
      <c r="Q464" s="227"/>
      <c r="R464" s="193"/>
      <c r="S464" s="241" t="s">
        <v>516</v>
      </c>
    </row>
    <row r="465" spans="1:19" ht="18.75" customHeight="1">
      <c r="A465" s="231"/>
      <c r="B465" s="232"/>
      <c r="C465" s="232"/>
      <c r="D465" s="232"/>
      <c r="E465" s="233"/>
      <c r="F465" s="222"/>
      <c r="G465" s="20"/>
      <c r="H465" s="222"/>
      <c r="N465" s="227"/>
      <c r="O465" s="227"/>
      <c r="P465" s="227"/>
      <c r="Q465" s="227"/>
      <c r="R465" s="193"/>
      <c r="S465" s="241"/>
    </row>
    <row r="466" spans="1:19" ht="21.75" customHeight="1">
      <c r="A466" s="231"/>
      <c r="B466" s="232"/>
      <c r="C466" s="232"/>
      <c r="D466" s="232"/>
      <c r="E466" s="233"/>
      <c r="F466" s="222"/>
      <c r="G466" s="20"/>
      <c r="H466" s="222"/>
      <c r="N466" s="227"/>
      <c r="O466" s="227"/>
      <c r="P466" s="227"/>
      <c r="Q466" s="227"/>
      <c r="R466" s="193"/>
      <c r="S466" s="241"/>
    </row>
    <row r="467" spans="1:19" ht="0.75" customHeight="1">
      <c r="A467" s="234"/>
      <c r="B467" s="235"/>
      <c r="C467" s="235"/>
      <c r="D467" s="235"/>
      <c r="E467" s="236"/>
      <c r="F467" s="223"/>
      <c r="G467" s="20"/>
      <c r="H467" s="223"/>
      <c r="N467" s="227"/>
      <c r="O467" s="227"/>
      <c r="P467" s="227"/>
      <c r="Q467" s="227"/>
      <c r="R467" s="193"/>
      <c r="S467" s="241"/>
    </row>
    <row r="468" spans="1:19" ht="15.75" customHeight="1">
      <c r="A468" s="62" t="s">
        <v>31</v>
      </c>
      <c r="B468" s="23" t="s">
        <v>32</v>
      </c>
      <c r="C468" s="26" t="s">
        <v>32</v>
      </c>
      <c r="D468" s="23"/>
      <c r="E468" s="23"/>
      <c r="F468" s="144" t="e">
        <f>SUM(F469+F474+F482+#REF!+#REF!+F527+#REF!+#REF!+F524)</f>
        <v>#REF!</v>
      </c>
      <c r="G468" s="100"/>
      <c r="H468" s="114">
        <f>H469+H474+H482+H505+H527+H524</f>
        <v>93971100</v>
      </c>
      <c r="N468" s="114">
        <f>SUM(N469+N474+N482+N505+N527+N524)</f>
        <v>71241029</v>
      </c>
      <c r="O468" s="114"/>
      <c r="P468" s="114">
        <f>SUM(P469+P474+P482+P505+P527+P524)</f>
        <v>71241029</v>
      </c>
      <c r="Q468" s="114">
        <f>Q469+Q474+Q482+Q505+Q524+Q527</f>
        <v>73216961</v>
      </c>
      <c r="R468" s="192"/>
      <c r="S468" s="114">
        <f>SUM(S469+S474+S482+S505+S527+S524)</f>
        <v>73216961</v>
      </c>
    </row>
    <row r="469" spans="1:19" ht="15.75">
      <c r="A469" s="50" t="s">
        <v>423</v>
      </c>
      <c r="B469" s="26"/>
      <c r="C469" s="23" t="s">
        <v>33</v>
      </c>
      <c r="D469" s="24" t="s">
        <v>181</v>
      </c>
      <c r="E469" s="26"/>
      <c r="F469" s="39">
        <f>F470</f>
        <v>0</v>
      </c>
      <c r="G469" s="27"/>
      <c r="H469" s="115">
        <f>H470</f>
        <v>1219356</v>
      </c>
      <c r="N469" s="115">
        <f>N470</f>
        <v>1219356</v>
      </c>
      <c r="O469" s="115"/>
      <c r="P469" s="115">
        <f>P470</f>
        <v>1219356</v>
      </c>
      <c r="Q469" s="115">
        <f>Q470</f>
        <v>1219356</v>
      </c>
      <c r="R469" s="102"/>
      <c r="S469" s="115">
        <f>S470</f>
        <v>1219356</v>
      </c>
    </row>
    <row r="470" spans="1:19" ht="32.25" customHeight="1">
      <c r="A470" s="50" t="s">
        <v>86</v>
      </c>
      <c r="B470" s="23"/>
      <c r="C470" s="23" t="s">
        <v>33</v>
      </c>
      <c r="D470" s="24" t="s">
        <v>189</v>
      </c>
      <c r="E470" s="23"/>
      <c r="F470" s="39">
        <f>F471</f>
        <v>0</v>
      </c>
      <c r="G470" s="27"/>
      <c r="H470" s="115">
        <f>H471</f>
        <v>1219356</v>
      </c>
      <c r="N470" s="115">
        <f>N471</f>
        <v>1219356</v>
      </c>
      <c r="O470" s="115"/>
      <c r="P470" s="115">
        <f>P471</f>
        <v>1219356</v>
      </c>
      <c r="Q470" s="115">
        <f>Q471</f>
        <v>1219356</v>
      </c>
      <c r="R470" s="102"/>
      <c r="S470" s="115">
        <f>S471</f>
        <v>1219356</v>
      </c>
    </row>
    <row r="471" spans="1:19" ht="21" customHeight="1">
      <c r="A471" s="50" t="s">
        <v>88</v>
      </c>
      <c r="B471" s="23"/>
      <c r="C471" s="23" t="s">
        <v>33</v>
      </c>
      <c r="D471" s="24" t="s">
        <v>189</v>
      </c>
      <c r="E471" s="23"/>
      <c r="F471" s="39">
        <f>F472+F473</f>
        <v>0</v>
      </c>
      <c r="G471" s="27"/>
      <c r="H471" s="115">
        <f>H472+H473</f>
        <v>1219356</v>
      </c>
      <c r="N471" s="115">
        <f>N472+N473</f>
        <v>1219356</v>
      </c>
      <c r="O471" s="115"/>
      <c r="P471" s="115">
        <f>P472+P473</f>
        <v>1219356</v>
      </c>
      <c r="Q471" s="115">
        <f>Q472+Q473</f>
        <v>1219356</v>
      </c>
      <c r="R471" s="102"/>
      <c r="S471" s="115">
        <f>S472+S473</f>
        <v>1219356</v>
      </c>
    </row>
    <row r="472" spans="1:19" ht="23.25" customHeight="1">
      <c r="A472" s="41" t="s">
        <v>129</v>
      </c>
      <c r="B472" s="23"/>
      <c r="C472" s="23" t="s">
        <v>33</v>
      </c>
      <c r="D472" s="24" t="s">
        <v>189</v>
      </c>
      <c r="E472" s="23" t="s">
        <v>146</v>
      </c>
      <c r="F472" s="80">
        <v>0</v>
      </c>
      <c r="G472" s="27">
        <v>1169925</v>
      </c>
      <c r="H472" s="116">
        <v>1178356</v>
      </c>
      <c r="N472" s="116">
        <v>1178356</v>
      </c>
      <c r="O472" s="116"/>
      <c r="P472" s="116">
        <f>N472+O472</f>
        <v>1178356</v>
      </c>
      <c r="Q472" s="116">
        <v>1178356</v>
      </c>
      <c r="R472" s="102"/>
      <c r="S472" s="116">
        <f>Q472+R472</f>
        <v>1178356</v>
      </c>
    </row>
    <row r="473" spans="1:19" ht="20.25" customHeight="1">
      <c r="A473" s="41" t="s">
        <v>130</v>
      </c>
      <c r="B473" s="23"/>
      <c r="C473" s="23" t="s">
        <v>33</v>
      </c>
      <c r="D473" s="24" t="s">
        <v>189</v>
      </c>
      <c r="E473" s="23" t="s">
        <v>147</v>
      </c>
      <c r="F473" s="80">
        <v>0</v>
      </c>
      <c r="G473" s="27">
        <v>41100</v>
      </c>
      <c r="H473" s="116">
        <v>41000</v>
      </c>
      <c r="N473" s="116">
        <v>41000</v>
      </c>
      <c r="O473" s="116"/>
      <c r="P473" s="116">
        <f>N473+O473</f>
        <v>41000</v>
      </c>
      <c r="Q473" s="116">
        <v>41000</v>
      </c>
      <c r="R473" s="102"/>
      <c r="S473" s="116">
        <f>Q473+R473</f>
        <v>41000</v>
      </c>
    </row>
    <row r="474" spans="1:19" ht="63">
      <c r="A474" s="50" t="s">
        <v>89</v>
      </c>
      <c r="B474" s="26"/>
      <c r="C474" s="23" t="s">
        <v>34</v>
      </c>
      <c r="D474" s="24" t="s">
        <v>181</v>
      </c>
      <c r="E474" s="26"/>
      <c r="F474" s="39" t="e">
        <f>F475+#REF!</f>
        <v>#REF!</v>
      </c>
      <c r="G474" s="27">
        <v>0</v>
      </c>
      <c r="H474" s="115">
        <f>H475</f>
        <v>1146644</v>
      </c>
      <c r="N474" s="115">
        <f>N475</f>
        <v>1146644</v>
      </c>
      <c r="O474" s="115"/>
      <c r="P474" s="115">
        <f>P475</f>
        <v>1146644</v>
      </c>
      <c r="Q474" s="115">
        <f>Q475</f>
        <v>1146644</v>
      </c>
      <c r="R474" s="102"/>
      <c r="S474" s="115">
        <f>S475</f>
        <v>1146644</v>
      </c>
    </row>
    <row r="475" spans="1:19" ht="51" customHeight="1">
      <c r="A475" s="50" t="s">
        <v>87</v>
      </c>
      <c r="B475" s="23"/>
      <c r="C475" s="23" t="s">
        <v>34</v>
      </c>
      <c r="D475" s="24" t="s">
        <v>178</v>
      </c>
      <c r="E475" s="23"/>
      <c r="F475" s="39" t="e">
        <f>F476</f>
        <v>#REF!</v>
      </c>
      <c r="G475" s="27"/>
      <c r="H475" s="115">
        <f>H476</f>
        <v>1146644</v>
      </c>
      <c r="N475" s="115">
        <f>N476</f>
        <v>1146644</v>
      </c>
      <c r="O475" s="115"/>
      <c r="P475" s="115">
        <f>P476</f>
        <v>1146644</v>
      </c>
      <c r="Q475" s="115">
        <f>Q476</f>
        <v>1146644</v>
      </c>
      <c r="R475" s="102"/>
      <c r="S475" s="115">
        <f>S476</f>
        <v>1146644</v>
      </c>
    </row>
    <row r="476" spans="1:19" ht="15.75">
      <c r="A476" s="50" t="s">
        <v>35</v>
      </c>
      <c r="B476" s="23"/>
      <c r="C476" s="23" t="s">
        <v>34</v>
      </c>
      <c r="D476" s="24" t="s">
        <v>178</v>
      </c>
      <c r="E476" s="23"/>
      <c r="F476" s="39" t="e">
        <f>F478+F479+F480+F481+F477+#REF!</f>
        <v>#REF!</v>
      </c>
      <c r="G476" s="27">
        <v>0</v>
      </c>
      <c r="H476" s="115">
        <f>H478+H479+H480+H481+H477</f>
        <v>1146644</v>
      </c>
      <c r="N476" s="115">
        <f>N478+N479+N480+N481+N477</f>
        <v>1146644</v>
      </c>
      <c r="O476" s="115"/>
      <c r="P476" s="115">
        <f>P478+P479+P480+P481+P477</f>
        <v>1146644</v>
      </c>
      <c r="Q476" s="115">
        <f>Q478+Q479+Q480+Q481+Q477</f>
        <v>1146644</v>
      </c>
      <c r="R476" s="102"/>
      <c r="S476" s="115">
        <f>S478+S479+S480+S481+S477</f>
        <v>1146644</v>
      </c>
    </row>
    <row r="477" spans="1:19" ht="21.75" customHeight="1">
      <c r="A477" s="41" t="s">
        <v>129</v>
      </c>
      <c r="B477" s="23" t="s">
        <v>159</v>
      </c>
      <c r="C477" s="23" t="s">
        <v>34</v>
      </c>
      <c r="D477" s="24" t="s">
        <v>178</v>
      </c>
      <c r="E477" s="23" t="s">
        <v>133</v>
      </c>
      <c r="F477" s="80">
        <v>0</v>
      </c>
      <c r="G477" s="27">
        <v>141879</v>
      </c>
      <c r="H477" s="116">
        <v>147480</v>
      </c>
      <c r="N477" s="116">
        <v>147480</v>
      </c>
      <c r="O477" s="116"/>
      <c r="P477" s="116">
        <f>N477+O477</f>
        <v>147480</v>
      </c>
      <c r="Q477" s="116">
        <v>147480</v>
      </c>
      <c r="R477" s="102"/>
      <c r="S477" s="116">
        <f>Q477+R477</f>
        <v>147480</v>
      </c>
    </row>
    <row r="478" spans="1:19" ht="15.75">
      <c r="A478" s="41" t="s">
        <v>129</v>
      </c>
      <c r="B478" s="23"/>
      <c r="C478" s="23" t="s">
        <v>34</v>
      </c>
      <c r="D478" s="24" t="s">
        <v>178</v>
      </c>
      <c r="E478" s="23" t="s">
        <v>146</v>
      </c>
      <c r="F478" s="80">
        <v>0</v>
      </c>
      <c r="G478" s="27">
        <v>1329958</v>
      </c>
      <c r="H478" s="116">
        <v>974442</v>
      </c>
      <c r="N478" s="116">
        <v>974442</v>
      </c>
      <c r="O478" s="116"/>
      <c r="P478" s="116">
        <f>N478+O478</f>
        <v>974442</v>
      </c>
      <c r="Q478" s="116">
        <v>974442</v>
      </c>
      <c r="R478" s="102"/>
      <c r="S478" s="116">
        <f>Q478+R478</f>
        <v>974442</v>
      </c>
    </row>
    <row r="479" spans="1:19" ht="33" customHeight="1">
      <c r="A479" s="41" t="s">
        <v>130</v>
      </c>
      <c r="B479" s="23"/>
      <c r="C479" s="23" t="s">
        <v>34</v>
      </c>
      <c r="D479" s="24" t="s">
        <v>178</v>
      </c>
      <c r="E479" s="23" t="s">
        <v>147</v>
      </c>
      <c r="F479" s="80">
        <v>0</v>
      </c>
      <c r="G479" s="27">
        <v>10000</v>
      </c>
      <c r="H479" s="116">
        <v>8000</v>
      </c>
      <c r="N479" s="116">
        <v>8000</v>
      </c>
      <c r="O479" s="116"/>
      <c r="P479" s="116">
        <f>N479+O479</f>
        <v>8000</v>
      </c>
      <c r="Q479" s="116">
        <v>8000</v>
      </c>
      <c r="R479" s="102"/>
      <c r="S479" s="116">
        <f>Q479+R479</f>
        <v>8000</v>
      </c>
    </row>
    <row r="480" spans="1:19" ht="36.75" customHeight="1">
      <c r="A480" s="41" t="s">
        <v>131</v>
      </c>
      <c r="B480" s="23"/>
      <c r="C480" s="23" t="s">
        <v>34</v>
      </c>
      <c r="D480" s="24" t="s">
        <v>178</v>
      </c>
      <c r="E480" s="23" t="s">
        <v>135</v>
      </c>
      <c r="F480" s="39">
        <v>0</v>
      </c>
      <c r="G480" s="27">
        <v>69823</v>
      </c>
      <c r="H480" s="115">
        <v>6722</v>
      </c>
      <c r="N480" s="115">
        <v>6722</v>
      </c>
      <c r="O480" s="115"/>
      <c r="P480" s="116">
        <f>N480+O480</f>
        <v>6722</v>
      </c>
      <c r="Q480" s="115">
        <v>6722</v>
      </c>
      <c r="R480" s="102"/>
      <c r="S480" s="116">
        <f>Q480+R480</f>
        <v>6722</v>
      </c>
    </row>
    <row r="481" spans="1:19" ht="33.75" customHeight="1">
      <c r="A481" s="41" t="s">
        <v>161</v>
      </c>
      <c r="B481" s="23"/>
      <c r="C481" s="23" t="s">
        <v>34</v>
      </c>
      <c r="D481" s="24" t="s">
        <v>178</v>
      </c>
      <c r="E481" s="23" t="s">
        <v>136</v>
      </c>
      <c r="F481" s="39">
        <v>0</v>
      </c>
      <c r="G481" s="27">
        <v>67000</v>
      </c>
      <c r="H481" s="115">
        <v>10000</v>
      </c>
      <c r="N481" s="115">
        <v>10000</v>
      </c>
      <c r="O481" s="115"/>
      <c r="P481" s="116">
        <f>N481+O481</f>
        <v>10000</v>
      </c>
      <c r="Q481" s="115">
        <v>10000</v>
      </c>
      <c r="R481" s="102"/>
      <c r="S481" s="116">
        <f>Q481+R481</f>
        <v>10000</v>
      </c>
    </row>
    <row r="482" spans="1:19" ht="69" customHeight="1">
      <c r="A482" s="57" t="s">
        <v>379</v>
      </c>
      <c r="B482" s="15"/>
      <c r="C482" s="23" t="s">
        <v>36</v>
      </c>
      <c r="D482" s="24" t="s">
        <v>381</v>
      </c>
      <c r="E482" s="23"/>
      <c r="F482" s="39" t="e">
        <f>#REF!+#REF!+#REF!</f>
        <v>#REF!</v>
      </c>
      <c r="G482" s="27"/>
      <c r="H482" s="115">
        <f>H483+H501</f>
        <v>35231000</v>
      </c>
      <c r="N482" s="115">
        <f>N483+N501</f>
        <v>35231000</v>
      </c>
      <c r="O482" s="115"/>
      <c r="P482" s="115">
        <f>P483+P501</f>
        <v>35231000</v>
      </c>
      <c r="Q482" s="115">
        <f>Q483+Q501</f>
        <v>35231000</v>
      </c>
      <c r="R482" s="102"/>
      <c r="S482" s="115">
        <f>S483+S501</f>
        <v>35231000</v>
      </c>
    </row>
    <row r="483" spans="1:19" ht="70.5" customHeight="1">
      <c r="A483" s="41" t="s">
        <v>380</v>
      </c>
      <c r="B483" s="23"/>
      <c r="C483" s="23" t="s">
        <v>36</v>
      </c>
      <c r="D483" s="24" t="s">
        <v>382</v>
      </c>
      <c r="E483" s="23"/>
      <c r="F483" s="39" t="e">
        <f>F485+F486+F487+F488+F489+F490+#REF!+F491</f>
        <v>#REF!</v>
      </c>
      <c r="G483" s="27"/>
      <c r="H483" s="115">
        <f>H484+H492+H495</f>
        <v>35218500</v>
      </c>
      <c r="N483" s="115">
        <f>N484+N492+N495</f>
        <v>35218500</v>
      </c>
      <c r="O483" s="115"/>
      <c r="P483" s="115">
        <f>P484+P492+P495</f>
        <v>35218500</v>
      </c>
      <c r="Q483" s="115">
        <f>Q484+Q492+Q495</f>
        <v>35218500</v>
      </c>
      <c r="R483" s="102"/>
      <c r="S483" s="115">
        <f>S484+S492+S495</f>
        <v>35218500</v>
      </c>
    </row>
    <row r="484" spans="1:19" ht="37.5" customHeight="1">
      <c r="A484" s="73" t="s">
        <v>206</v>
      </c>
      <c r="B484" s="23"/>
      <c r="C484" s="24" t="s">
        <v>36</v>
      </c>
      <c r="D484" s="24" t="s">
        <v>384</v>
      </c>
      <c r="E484" s="23"/>
      <c r="F484" s="39"/>
      <c r="G484" s="27"/>
      <c r="H484" s="115">
        <f>H485+H486+H487+H488+H489+H490+H491</f>
        <v>14049980</v>
      </c>
      <c r="N484" s="115">
        <f>N485+N486+N487+N488+N489+N490+N491</f>
        <v>14049980</v>
      </c>
      <c r="O484" s="115"/>
      <c r="P484" s="115">
        <f>P485+P486+P487+P488+P489+P490+P491</f>
        <v>14049980</v>
      </c>
      <c r="Q484" s="115">
        <f>Q485+Q486+Q487+Q488+Q489+Q490+Q491</f>
        <v>14049980</v>
      </c>
      <c r="R484" s="102"/>
      <c r="S484" s="115">
        <f>S485+S486+S487+S488+S489+S490+S491</f>
        <v>14049980</v>
      </c>
    </row>
    <row r="485" spans="1:19" ht="19.5" customHeight="1">
      <c r="A485" s="41" t="s">
        <v>129</v>
      </c>
      <c r="B485" s="23"/>
      <c r="C485" s="23" t="s">
        <v>36</v>
      </c>
      <c r="D485" s="24" t="s">
        <v>384</v>
      </c>
      <c r="E485" s="23" t="s">
        <v>133</v>
      </c>
      <c r="F485" s="39">
        <v>0</v>
      </c>
      <c r="G485" s="27">
        <v>2233793</v>
      </c>
      <c r="H485" s="115">
        <v>2848840</v>
      </c>
      <c r="N485" s="115">
        <v>2848840</v>
      </c>
      <c r="O485" s="115"/>
      <c r="P485" s="116">
        <f aca="true" t="shared" si="47" ref="P485:P500">N485+O485</f>
        <v>2848840</v>
      </c>
      <c r="Q485" s="115">
        <v>2848840</v>
      </c>
      <c r="R485" s="102"/>
      <c r="S485" s="116">
        <f aca="true" t="shared" si="48" ref="S485:S500">Q485+R485</f>
        <v>2848840</v>
      </c>
    </row>
    <row r="486" spans="1:19" ht="32.25" customHeight="1">
      <c r="A486" s="41" t="s">
        <v>130</v>
      </c>
      <c r="B486" s="23"/>
      <c r="C486" s="23" t="s">
        <v>36</v>
      </c>
      <c r="D486" s="24" t="s">
        <v>384</v>
      </c>
      <c r="E486" s="23" t="s">
        <v>134</v>
      </c>
      <c r="F486" s="39">
        <v>0</v>
      </c>
      <c r="G486" s="27">
        <v>1450</v>
      </c>
      <c r="H486" s="115">
        <v>633</v>
      </c>
      <c r="N486" s="115">
        <v>633</v>
      </c>
      <c r="O486" s="115"/>
      <c r="P486" s="116">
        <f t="shared" si="47"/>
        <v>633</v>
      </c>
      <c r="Q486" s="115">
        <v>633</v>
      </c>
      <c r="R486" s="102"/>
      <c r="S486" s="116">
        <f t="shared" si="48"/>
        <v>633</v>
      </c>
    </row>
    <row r="487" spans="1:19" ht="18.75" customHeight="1">
      <c r="A487" s="41" t="s">
        <v>129</v>
      </c>
      <c r="B487" s="23"/>
      <c r="C487" s="23" t="s">
        <v>36</v>
      </c>
      <c r="D487" s="24" t="s">
        <v>384</v>
      </c>
      <c r="E487" s="23" t="s">
        <v>146</v>
      </c>
      <c r="F487" s="39">
        <v>0</v>
      </c>
      <c r="G487" s="27">
        <v>9071385</v>
      </c>
      <c r="H487" s="115">
        <v>8976035</v>
      </c>
      <c r="N487" s="115">
        <v>8976035</v>
      </c>
      <c r="O487" s="115"/>
      <c r="P487" s="116">
        <f t="shared" si="47"/>
        <v>8976035</v>
      </c>
      <c r="Q487" s="115">
        <v>8976035</v>
      </c>
      <c r="R487" s="102"/>
      <c r="S487" s="116">
        <f t="shared" si="48"/>
        <v>8976035</v>
      </c>
    </row>
    <row r="488" spans="1:19" ht="36.75" customHeight="1">
      <c r="A488" s="41" t="s">
        <v>130</v>
      </c>
      <c r="B488" s="23"/>
      <c r="C488" s="23" t="s">
        <v>36</v>
      </c>
      <c r="D488" s="24" t="s">
        <v>384</v>
      </c>
      <c r="E488" s="23" t="s">
        <v>147</v>
      </c>
      <c r="F488" s="39">
        <v>0</v>
      </c>
      <c r="G488" s="27">
        <v>90000</v>
      </c>
      <c r="H488" s="115">
        <v>65000</v>
      </c>
      <c r="N488" s="115">
        <v>65000</v>
      </c>
      <c r="O488" s="115"/>
      <c r="P488" s="116">
        <f t="shared" si="47"/>
        <v>65000</v>
      </c>
      <c r="Q488" s="115">
        <v>65000</v>
      </c>
      <c r="R488" s="102"/>
      <c r="S488" s="116">
        <f t="shared" si="48"/>
        <v>65000</v>
      </c>
    </row>
    <row r="489" spans="1:19" ht="30.75" customHeight="1">
      <c r="A489" s="41" t="s">
        <v>131</v>
      </c>
      <c r="B489" s="23"/>
      <c r="C489" s="23" t="s">
        <v>36</v>
      </c>
      <c r="D489" s="24" t="s">
        <v>384</v>
      </c>
      <c r="E489" s="23" t="s">
        <v>135</v>
      </c>
      <c r="F489" s="39">
        <v>0</v>
      </c>
      <c r="G489" s="27">
        <v>652206</v>
      </c>
      <c r="H489" s="115">
        <v>432050</v>
      </c>
      <c r="N489" s="115">
        <v>432050</v>
      </c>
      <c r="O489" s="115"/>
      <c r="P489" s="116">
        <f t="shared" si="47"/>
        <v>432050</v>
      </c>
      <c r="Q489" s="115">
        <v>432050</v>
      </c>
      <c r="R489" s="102"/>
      <c r="S489" s="116">
        <f t="shared" si="48"/>
        <v>432050</v>
      </c>
    </row>
    <row r="490" spans="1:19" ht="31.5">
      <c r="A490" s="41" t="s">
        <v>161</v>
      </c>
      <c r="B490" s="23"/>
      <c r="C490" s="23" t="s">
        <v>36</v>
      </c>
      <c r="D490" s="24" t="s">
        <v>384</v>
      </c>
      <c r="E490" s="23" t="s">
        <v>136</v>
      </c>
      <c r="F490" s="39">
        <v>0</v>
      </c>
      <c r="G490" s="27">
        <v>3992666</v>
      </c>
      <c r="H490" s="115">
        <v>1719972</v>
      </c>
      <c r="N490" s="115">
        <v>1719972</v>
      </c>
      <c r="O490" s="115"/>
      <c r="P490" s="116">
        <f t="shared" si="47"/>
        <v>1719972</v>
      </c>
      <c r="Q490" s="115">
        <v>1719972</v>
      </c>
      <c r="R490" s="102"/>
      <c r="S490" s="116">
        <f t="shared" si="48"/>
        <v>1719972</v>
      </c>
    </row>
    <row r="491" spans="1:19" ht="30.75" customHeight="1">
      <c r="A491" s="41" t="s">
        <v>140</v>
      </c>
      <c r="B491" s="23"/>
      <c r="C491" s="23" t="s">
        <v>36</v>
      </c>
      <c r="D491" s="24" t="s">
        <v>384</v>
      </c>
      <c r="E491" s="23" t="s">
        <v>141</v>
      </c>
      <c r="F491" s="39">
        <v>0</v>
      </c>
      <c r="G491" s="27">
        <v>7096</v>
      </c>
      <c r="H491" s="115">
        <v>7450</v>
      </c>
      <c r="N491" s="115">
        <v>7450</v>
      </c>
      <c r="O491" s="115"/>
      <c r="P491" s="116">
        <f t="shared" si="47"/>
        <v>7450</v>
      </c>
      <c r="Q491" s="115">
        <v>7450</v>
      </c>
      <c r="R491" s="102"/>
      <c r="S491" s="116">
        <f t="shared" si="48"/>
        <v>7450</v>
      </c>
    </row>
    <row r="492" spans="1:19" ht="30" customHeight="1">
      <c r="A492" s="75" t="s">
        <v>387</v>
      </c>
      <c r="B492" s="23"/>
      <c r="C492" s="23" t="s">
        <v>36</v>
      </c>
      <c r="D492" s="24" t="s">
        <v>383</v>
      </c>
      <c r="E492" s="23"/>
      <c r="F492" s="39">
        <f>F493+F494</f>
        <v>0</v>
      </c>
      <c r="G492" s="27"/>
      <c r="H492" s="115">
        <f>H493+H494</f>
        <v>948667</v>
      </c>
      <c r="N492" s="115">
        <f>N493+N494</f>
        <v>948667</v>
      </c>
      <c r="O492" s="115"/>
      <c r="P492" s="115">
        <f>P493+P494</f>
        <v>948667</v>
      </c>
      <c r="Q492" s="115">
        <f>Q493+Q494</f>
        <v>948667</v>
      </c>
      <c r="R492" s="102"/>
      <c r="S492" s="115">
        <f>S493+S494</f>
        <v>948667</v>
      </c>
    </row>
    <row r="493" spans="1:19" ht="17.25" customHeight="1">
      <c r="A493" s="41" t="s">
        <v>129</v>
      </c>
      <c r="B493" s="23" t="s">
        <v>110</v>
      </c>
      <c r="C493" s="23" t="s">
        <v>36</v>
      </c>
      <c r="D493" s="24" t="s">
        <v>383</v>
      </c>
      <c r="E493" s="23" t="s">
        <v>146</v>
      </c>
      <c r="F493" s="39">
        <v>0</v>
      </c>
      <c r="G493" s="27">
        <v>919763</v>
      </c>
      <c r="H493" s="115">
        <v>928667</v>
      </c>
      <c r="N493" s="115">
        <v>928667</v>
      </c>
      <c r="O493" s="115"/>
      <c r="P493" s="116">
        <f t="shared" si="47"/>
        <v>928667</v>
      </c>
      <c r="Q493" s="115">
        <v>928667</v>
      </c>
      <c r="R493" s="102"/>
      <c r="S493" s="116">
        <f t="shared" si="48"/>
        <v>928667</v>
      </c>
    </row>
    <row r="494" spans="1:19" ht="36.75" customHeight="1">
      <c r="A494" s="41" t="s">
        <v>130</v>
      </c>
      <c r="B494" s="23" t="s">
        <v>110</v>
      </c>
      <c r="C494" s="23" t="s">
        <v>36</v>
      </c>
      <c r="D494" s="24" t="s">
        <v>383</v>
      </c>
      <c r="E494" s="23" t="s">
        <v>147</v>
      </c>
      <c r="F494" s="39">
        <v>0</v>
      </c>
      <c r="G494" s="27">
        <v>50000</v>
      </c>
      <c r="H494" s="115">
        <v>20000</v>
      </c>
      <c r="N494" s="115">
        <v>20000</v>
      </c>
      <c r="O494" s="115"/>
      <c r="P494" s="116">
        <f t="shared" si="47"/>
        <v>20000</v>
      </c>
      <c r="Q494" s="115">
        <v>20000</v>
      </c>
      <c r="R494" s="102"/>
      <c r="S494" s="116">
        <f t="shared" si="48"/>
        <v>20000</v>
      </c>
    </row>
    <row r="495" spans="1:19" ht="31.5">
      <c r="A495" s="74" t="s">
        <v>386</v>
      </c>
      <c r="B495" s="23"/>
      <c r="C495" s="23" t="s">
        <v>36</v>
      </c>
      <c r="D495" s="24" t="s">
        <v>385</v>
      </c>
      <c r="E495" s="23"/>
      <c r="F495" s="39" t="e">
        <f>#REF!+F496+F498+#REF!+F499+F500+#REF!+#REF!</f>
        <v>#REF!</v>
      </c>
      <c r="G495" s="27"/>
      <c r="H495" s="115">
        <f>H496+H498+H499+H500+H497</f>
        <v>20219853</v>
      </c>
      <c r="I495" s="115">
        <f aca="true" t="shared" si="49" ref="I495:Q495">I496+I498+I499+I500+I497</f>
        <v>0</v>
      </c>
      <c r="J495" s="115">
        <f t="shared" si="49"/>
        <v>0</v>
      </c>
      <c r="K495" s="115">
        <f t="shared" si="49"/>
        <v>0</v>
      </c>
      <c r="L495" s="115">
        <f t="shared" si="49"/>
        <v>0</v>
      </c>
      <c r="M495" s="115">
        <f t="shared" si="49"/>
        <v>0</v>
      </c>
      <c r="N495" s="115">
        <f t="shared" si="49"/>
        <v>20219853</v>
      </c>
      <c r="O495" s="115"/>
      <c r="P495" s="115">
        <f t="shared" si="49"/>
        <v>20219853</v>
      </c>
      <c r="Q495" s="115">
        <f t="shared" si="49"/>
        <v>20219853</v>
      </c>
      <c r="R495" s="102"/>
      <c r="S495" s="115">
        <f>S496+S498+S499+S500+S497</f>
        <v>20219853</v>
      </c>
    </row>
    <row r="496" spans="1:19" ht="22.5" customHeight="1">
      <c r="A496" s="41" t="s">
        <v>129</v>
      </c>
      <c r="B496" s="23"/>
      <c r="C496" s="23" t="s">
        <v>36</v>
      </c>
      <c r="D496" s="24" t="s">
        <v>385</v>
      </c>
      <c r="E496" s="23" t="s">
        <v>133</v>
      </c>
      <c r="F496" s="39">
        <v>0</v>
      </c>
      <c r="G496" s="27">
        <v>1591415</v>
      </c>
      <c r="H496" s="115">
        <v>1573962</v>
      </c>
      <c r="N496" s="115">
        <v>1573962</v>
      </c>
      <c r="O496" s="115"/>
      <c r="P496" s="116">
        <f t="shared" si="47"/>
        <v>1573962</v>
      </c>
      <c r="Q496" s="115">
        <v>1573962</v>
      </c>
      <c r="R496" s="102"/>
      <c r="S496" s="116">
        <f t="shared" si="48"/>
        <v>1573962</v>
      </c>
    </row>
    <row r="497" spans="1:19" ht="30.75" customHeight="1">
      <c r="A497" s="41" t="s">
        <v>130</v>
      </c>
      <c r="B497" s="23"/>
      <c r="C497" s="23" t="s">
        <v>36</v>
      </c>
      <c r="D497" s="24" t="s">
        <v>385</v>
      </c>
      <c r="E497" s="24" t="s">
        <v>134</v>
      </c>
      <c r="F497" s="39"/>
      <c r="G497" s="27"/>
      <c r="H497" s="115">
        <v>288</v>
      </c>
      <c r="N497" s="115">
        <v>288</v>
      </c>
      <c r="O497" s="115"/>
      <c r="P497" s="116">
        <f t="shared" si="47"/>
        <v>288</v>
      </c>
      <c r="Q497" s="115">
        <v>288</v>
      </c>
      <c r="R497" s="102"/>
      <c r="S497" s="116">
        <f t="shared" si="48"/>
        <v>288</v>
      </c>
    </row>
    <row r="498" spans="1:19" ht="19.5" customHeight="1">
      <c r="A498" s="41" t="s">
        <v>129</v>
      </c>
      <c r="B498" s="23"/>
      <c r="C498" s="23" t="s">
        <v>36</v>
      </c>
      <c r="D498" s="24" t="s">
        <v>385</v>
      </c>
      <c r="E498" s="23" t="s">
        <v>146</v>
      </c>
      <c r="F498" s="39">
        <v>0</v>
      </c>
      <c r="G498" s="27">
        <v>11874980</v>
      </c>
      <c r="H498" s="115">
        <v>12323382</v>
      </c>
      <c r="N498" s="115">
        <v>12323382</v>
      </c>
      <c r="O498" s="115"/>
      <c r="P498" s="116">
        <f t="shared" si="47"/>
        <v>12323382</v>
      </c>
      <c r="Q498" s="115">
        <v>12323382</v>
      </c>
      <c r="R498" s="102"/>
      <c r="S498" s="116">
        <f t="shared" si="48"/>
        <v>12323382</v>
      </c>
    </row>
    <row r="499" spans="1:19" ht="15" customHeight="1">
      <c r="A499" s="41" t="s">
        <v>131</v>
      </c>
      <c r="B499" s="23"/>
      <c r="C499" s="23" t="s">
        <v>36</v>
      </c>
      <c r="D499" s="24" t="s">
        <v>385</v>
      </c>
      <c r="E499" s="23" t="s">
        <v>135</v>
      </c>
      <c r="F499" s="39">
        <v>0</v>
      </c>
      <c r="G499" s="27">
        <v>451681</v>
      </c>
      <c r="H499" s="115">
        <v>554900</v>
      </c>
      <c r="N499" s="115">
        <v>554900</v>
      </c>
      <c r="O499" s="115"/>
      <c r="P499" s="116">
        <f t="shared" si="47"/>
        <v>554900</v>
      </c>
      <c r="Q499" s="115">
        <v>554900</v>
      </c>
      <c r="R499" s="102"/>
      <c r="S499" s="116">
        <f t="shared" si="48"/>
        <v>554900</v>
      </c>
    </row>
    <row r="500" spans="1:19" ht="33.75" customHeight="1">
      <c r="A500" s="41" t="s">
        <v>161</v>
      </c>
      <c r="B500" s="23"/>
      <c r="C500" s="23" t="s">
        <v>36</v>
      </c>
      <c r="D500" s="24" t="s">
        <v>385</v>
      </c>
      <c r="E500" s="23" t="s">
        <v>136</v>
      </c>
      <c r="F500" s="39">
        <v>0</v>
      </c>
      <c r="G500" s="27">
        <v>5618424</v>
      </c>
      <c r="H500" s="115">
        <v>5767321</v>
      </c>
      <c r="N500" s="115">
        <v>5767321</v>
      </c>
      <c r="O500" s="115"/>
      <c r="P500" s="116">
        <f t="shared" si="47"/>
        <v>5767321</v>
      </c>
      <c r="Q500" s="115">
        <v>5767321</v>
      </c>
      <c r="R500" s="102"/>
      <c r="S500" s="116">
        <f t="shared" si="48"/>
        <v>5767321</v>
      </c>
    </row>
    <row r="501" spans="1:19" ht="52.5" customHeight="1">
      <c r="A501" s="33" t="s">
        <v>401</v>
      </c>
      <c r="B501" s="17"/>
      <c r="C501" s="24" t="s">
        <v>36</v>
      </c>
      <c r="D501" s="24" t="s">
        <v>402</v>
      </c>
      <c r="E501" s="23"/>
      <c r="F501" s="39" t="e">
        <f>F505+F502</f>
        <v>#REF!</v>
      </c>
      <c r="G501" s="27"/>
      <c r="H501" s="115">
        <f>H502</f>
        <v>12500</v>
      </c>
      <c r="N501" s="115">
        <f>N502</f>
        <v>12500</v>
      </c>
      <c r="O501" s="115"/>
      <c r="P501" s="115">
        <f>P502</f>
        <v>12500</v>
      </c>
      <c r="Q501" s="115">
        <f>Q502</f>
        <v>12500</v>
      </c>
      <c r="R501" s="102"/>
      <c r="S501" s="115">
        <f>S502</f>
        <v>12500</v>
      </c>
    </row>
    <row r="502" spans="1:19" ht="40.5" customHeight="1">
      <c r="A502" s="77" t="s">
        <v>403</v>
      </c>
      <c r="B502" s="25"/>
      <c r="C502" s="24" t="s">
        <v>36</v>
      </c>
      <c r="D502" s="24" t="s">
        <v>483</v>
      </c>
      <c r="E502" s="23"/>
      <c r="F502" s="39" t="e">
        <f>F504+#REF!</f>
        <v>#REF!</v>
      </c>
      <c r="G502" s="27"/>
      <c r="H502" s="115">
        <f>H504+H503</f>
        <v>12500</v>
      </c>
      <c r="N502" s="115">
        <f>N504+N503</f>
        <v>12500</v>
      </c>
      <c r="O502" s="115"/>
      <c r="P502" s="115">
        <f>P504+P503</f>
        <v>12500</v>
      </c>
      <c r="Q502" s="115">
        <f>Q504+Q503</f>
        <v>12500</v>
      </c>
      <c r="R502" s="102"/>
      <c r="S502" s="115">
        <f>S504+S503</f>
        <v>12500</v>
      </c>
    </row>
    <row r="503" spans="1:19" ht="38.25" customHeight="1">
      <c r="A503" s="41" t="s">
        <v>130</v>
      </c>
      <c r="B503" s="25"/>
      <c r="C503" s="24" t="s">
        <v>36</v>
      </c>
      <c r="D503" s="24" t="s">
        <v>483</v>
      </c>
      <c r="E503" s="24" t="s">
        <v>147</v>
      </c>
      <c r="F503" s="39"/>
      <c r="G503" s="27"/>
      <c r="H503" s="115">
        <v>1000</v>
      </c>
      <c r="N503" s="115">
        <v>1000</v>
      </c>
      <c r="O503" s="115"/>
      <c r="P503" s="116">
        <f>N503+O503</f>
        <v>1000</v>
      </c>
      <c r="Q503" s="115">
        <v>1000</v>
      </c>
      <c r="R503" s="102"/>
      <c r="S503" s="116">
        <f>Q503+R503</f>
        <v>1000</v>
      </c>
    </row>
    <row r="504" spans="1:19" ht="31.5">
      <c r="A504" s="50" t="s">
        <v>161</v>
      </c>
      <c r="B504" s="25"/>
      <c r="C504" s="24" t="s">
        <v>36</v>
      </c>
      <c r="D504" s="24" t="s">
        <v>483</v>
      </c>
      <c r="E504" s="24" t="s">
        <v>136</v>
      </c>
      <c r="F504" s="39">
        <v>0</v>
      </c>
      <c r="G504" s="27">
        <v>2066900</v>
      </c>
      <c r="H504" s="115">
        <v>11500</v>
      </c>
      <c r="N504" s="115">
        <v>11500</v>
      </c>
      <c r="O504" s="115"/>
      <c r="P504" s="116">
        <f>N504+O504</f>
        <v>11500</v>
      </c>
      <c r="Q504" s="115">
        <v>11500</v>
      </c>
      <c r="R504" s="102"/>
      <c r="S504" s="116">
        <f>Q504+R504</f>
        <v>11500</v>
      </c>
    </row>
    <row r="505" spans="1:19" ht="50.25" customHeight="1">
      <c r="A505" s="50" t="s">
        <v>90</v>
      </c>
      <c r="B505" s="26"/>
      <c r="C505" s="23" t="s">
        <v>37</v>
      </c>
      <c r="D505" s="23"/>
      <c r="E505" s="23"/>
      <c r="F505" s="39" t="e">
        <f>F506+F522+#REF!</f>
        <v>#REF!</v>
      </c>
      <c r="G505" s="27"/>
      <c r="H505" s="115">
        <f>H506+H515</f>
        <v>7840600</v>
      </c>
      <c r="N505" s="115">
        <f>N506+N515</f>
        <v>7836800</v>
      </c>
      <c r="O505" s="115"/>
      <c r="P505" s="115">
        <f>P506+P515</f>
        <v>7836800</v>
      </c>
      <c r="Q505" s="115">
        <f>Q506+Q515</f>
        <v>7836800</v>
      </c>
      <c r="R505" s="160"/>
      <c r="S505" s="115">
        <f>S506+S515</f>
        <v>7836800</v>
      </c>
    </row>
    <row r="506" spans="1:19" ht="67.5" customHeight="1">
      <c r="A506" s="82" t="s">
        <v>183</v>
      </c>
      <c r="B506" s="23"/>
      <c r="C506" s="23" t="s">
        <v>37</v>
      </c>
      <c r="D506" s="24" t="s">
        <v>182</v>
      </c>
      <c r="E506" s="23"/>
      <c r="F506" s="39" t="e">
        <f>#REF!+F517</f>
        <v>#REF!</v>
      </c>
      <c r="G506" s="27"/>
      <c r="H506" s="115">
        <f>H507</f>
        <v>6522000</v>
      </c>
      <c r="N506" s="115">
        <f>N507</f>
        <v>6522000</v>
      </c>
      <c r="O506" s="115"/>
      <c r="P506" s="115">
        <f>P507</f>
        <v>6522000</v>
      </c>
      <c r="Q506" s="115">
        <f>Q507</f>
        <v>6522000</v>
      </c>
      <c r="R506" s="160"/>
      <c r="S506" s="115">
        <f>S507</f>
        <v>6522000</v>
      </c>
    </row>
    <row r="507" spans="1:19" s="69" customFormat="1" ht="64.5" customHeight="1">
      <c r="A507" s="56" t="s">
        <v>187</v>
      </c>
      <c r="B507" s="23"/>
      <c r="C507" s="24" t="s">
        <v>37</v>
      </c>
      <c r="D507" s="24" t="s">
        <v>188</v>
      </c>
      <c r="E507" s="24"/>
      <c r="F507" s="39"/>
      <c r="G507" s="27"/>
      <c r="H507" s="115">
        <f>H508+H509+H510+H511+H512+H513+H514</f>
        <v>6522000</v>
      </c>
      <c r="I507" s="123"/>
      <c r="J507" s="123"/>
      <c r="K507" s="123"/>
      <c r="L507" s="123"/>
      <c r="M507" s="123"/>
      <c r="N507" s="115">
        <f>N508+N509+N510+N511+N512+N513+N514</f>
        <v>6522000</v>
      </c>
      <c r="O507" s="115"/>
      <c r="P507" s="115">
        <f>P508+P509+P510+P511+P512+P513+P514</f>
        <v>6522000</v>
      </c>
      <c r="Q507" s="115">
        <f>Q508+Q509+Q510+Q511+Q512+Q513+Q514</f>
        <v>6522000</v>
      </c>
      <c r="R507" s="78"/>
      <c r="S507" s="115">
        <f>S508+S509+S510+S511+S512+S513+S514</f>
        <v>6522000</v>
      </c>
    </row>
    <row r="508" spans="1:19" s="69" customFormat="1" ht="32.25" customHeight="1">
      <c r="A508" s="41" t="s">
        <v>129</v>
      </c>
      <c r="B508" s="23" t="s">
        <v>153</v>
      </c>
      <c r="C508" s="23" t="s">
        <v>37</v>
      </c>
      <c r="D508" s="24" t="s">
        <v>188</v>
      </c>
      <c r="E508" s="23" t="s">
        <v>133</v>
      </c>
      <c r="F508" s="80">
        <v>0</v>
      </c>
      <c r="G508" s="27">
        <f>550815</f>
        <v>550815</v>
      </c>
      <c r="H508" s="116">
        <v>573234</v>
      </c>
      <c r="I508" s="123"/>
      <c r="J508" s="123"/>
      <c r="K508" s="123"/>
      <c r="L508" s="123"/>
      <c r="M508" s="123"/>
      <c r="N508" s="116">
        <v>573234</v>
      </c>
      <c r="O508" s="116"/>
      <c r="P508" s="116">
        <f aca="true" t="shared" si="50" ref="P508:P514">N508+O508</f>
        <v>573234</v>
      </c>
      <c r="Q508" s="116">
        <v>573234</v>
      </c>
      <c r="R508" s="78"/>
      <c r="S508" s="116">
        <f aca="true" t="shared" si="51" ref="S508:S514">Q508+R508</f>
        <v>573234</v>
      </c>
    </row>
    <row r="509" spans="1:19" s="69" customFormat="1" ht="36" customHeight="1">
      <c r="A509" s="41" t="s">
        <v>130</v>
      </c>
      <c r="B509" s="23"/>
      <c r="C509" s="23" t="s">
        <v>37</v>
      </c>
      <c r="D509" s="24" t="s">
        <v>188</v>
      </c>
      <c r="E509" s="23" t="s">
        <v>134</v>
      </c>
      <c r="F509" s="80">
        <v>0</v>
      </c>
      <c r="G509" s="27">
        <v>17200</v>
      </c>
      <c r="H509" s="116">
        <v>10200</v>
      </c>
      <c r="I509" s="123"/>
      <c r="J509" s="123"/>
      <c r="K509" s="123"/>
      <c r="L509" s="123"/>
      <c r="M509" s="123"/>
      <c r="N509" s="116">
        <v>10200</v>
      </c>
      <c r="O509" s="116"/>
      <c r="P509" s="116">
        <f t="shared" si="50"/>
        <v>10200</v>
      </c>
      <c r="Q509" s="116">
        <v>10200</v>
      </c>
      <c r="R509" s="78"/>
      <c r="S509" s="116">
        <f t="shared" si="51"/>
        <v>10200</v>
      </c>
    </row>
    <row r="510" spans="1:19" s="69" customFormat="1" ht="21" customHeight="1">
      <c r="A510" s="41" t="s">
        <v>129</v>
      </c>
      <c r="B510" s="23"/>
      <c r="C510" s="23" t="s">
        <v>37</v>
      </c>
      <c r="D510" s="24" t="s">
        <v>188</v>
      </c>
      <c r="E510" s="23" t="s">
        <v>146</v>
      </c>
      <c r="F510" s="80">
        <v>0</v>
      </c>
      <c r="G510" s="27">
        <f>5079385+654122</f>
        <v>5733507</v>
      </c>
      <c r="H510" s="116">
        <v>5053440</v>
      </c>
      <c r="I510" s="123"/>
      <c r="J510" s="123"/>
      <c r="K510" s="123"/>
      <c r="L510" s="123"/>
      <c r="M510" s="123"/>
      <c r="N510" s="116">
        <v>5053440</v>
      </c>
      <c r="O510" s="116"/>
      <c r="P510" s="116">
        <f t="shared" si="50"/>
        <v>5053440</v>
      </c>
      <c r="Q510" s="116">
        <v>5053440</v>
      </c>
      <c r="R510" s="78"/>
      <c r="S510" s="116">
        <f t="shared" si="51"/>
        <v>5053440</v>
      </c>
    </row>
    <row r="511" spans="1:19" s="69" customFormat="1" ht="34.5" customHeight="1">
      <c r="A511" s="41" t="s">
        <v>130</v>
      </c>
      <c r="B511" s="23"/>
      <c r="C511" s="23" t="s">
        <v>37</v>
      </c>
      <c r="D511" s="24" t="s">
        <v>188</v>
      </c>
      <c r="E511" s="23" t="s">
        <v>147</v>
      </c>
      <c r="F511" s="80">
        <v>0</v>
      </c>
      <c r="G511" s="27">
        <f>9600+1945</f>
        <v>11545</v>
      </c>
      <c r="H511" s="116">
        <v>4000</v>
      </c>
      <c r="I511" s="123"/>
      <c r="J511" s="123"/>
      <c r="K511" s="123"/>
      <c r="L511" s="123"/>
      <c r="M511" s="123"/>
      <c r="N511" s="116">
        <v>4000</v>
      </c>
      <c r="O511" s="116"/>
      <c r="P511" s="116">
        <f t="shared" si="50"/>
        <v>4000</v>
      </c>
      <c r="Q511" s="116">
        <v>4000</v>
      </c>
      <c r="R511" s="78"/>
      <c r="S511" s="116">
        <f t="shared" si="51"/>
        <v>4000</v>
      </c>
    </row>
    <row r="512" spans="1:19" s="69" customFormat="1" ht="33" customHeight="1">
      <c r="A512" s="41" t="s">
        <v>131</v>
      </c>
      <c r="B512" s="23" t="s">
        <v>153</v>
      </c>
      <c r="C512" s="23" t="s">
        <v>37</v>
      </c>
      <c r="D512" s="24" t="s">
        <v>188</v>
      </c>
      <c r="E512" s="23" t="s">
        <v>135</v>
      </c>
      <c r="F512" s="80">
        <v>0</v>
      </c>
      <c r="G512" s="27">
        <f>938300+26000</f>
        <v>964300</v>
      </c>
      <c r="H512" s="116">
        <v>655033</v>
      </c>
      <c r="I512" s="123"/>
      <c r="J512" s="123"/>
      <c r="K512" s="123"/>
      <c r="L512" s="123"/>
      <c r="M512" s="123"/>
      <c r="N512" s="116">
        <v>655033</v>
      </c>
      <c r="O512" s="116"/>
      <c r="P512" s="116">
        <f t="shared" si="50"/>
        <v>655033</v>
      </c>
      <c r="Q512" s="116">
        <v>655033</v>
      </c>
      <c r="R512" s="78"/>
      <c r="S512" s="116">
        <f t="shared" si="51"/>
        <v>655033</v>
      </c>
    </row>
    <row r="513" spans="1:19" s="69" customFormat="1" ht="35.25" customHeight="1">
      <c r="A513" s="50" t="s">
        <v>161</v>
      </c>
      <c r="B513" s="23" t="s">
        <v>153</v>
      </c>
      <c r="C513" s="23" t="s">
        <v>37</v>
      </c>
      <c r="D513" s="24" t="s">
        <v>188</v>
      </c>
      <c r="E513" s="23" t="s">
        <v>136</v>
      </c>
      <c r="F513" s="80">
        <v>0</v>
      </c>
      <c r="G513" s="27">
        <f>615700+27460</f>
        <v>643160</v>
      </c>
      <c r="H513" s="116">
        <v>225493</v>
      </c>
      <c r="I513" s="123"/>
      <c r="J513" s="123"/>
      <c r="K513" s="123"/>
      <c r="L513" s="123"/>
      <c r="M513" s="123"/>
      <c r="N513" s="116">
        <v>225493</v>
      </c>
      <c r="O513" s="116"/>
      <c r="P513" s="116">
        <f t="shared" si="50"/>
        <v>225493</v>
      </c>
      <c r="Q513" s="116">
        <v>225493</v>
      </c>
      <c r="R513" s="78"/>
      <c r="S513" s="116">
        <f t="shared" si="51"/>
        <v>225493</v>
      </c>
    </row>
    <row r="514" spans="1:19" s="69" customFormat="1" ht="36.75" customHeight="1">
      <c r="A514" s="41" t="s">
        <v>132</v>
      </c>
      <c r="B514" s="23" t="s">
        <v>153</v>
      </c>
      <c r="C514" s="23" t="s">
        <v>37</v>
      </c>
      <c r="D514" s="24" t="s">
        <v>188</v>
      </c>
      <c r="E514" s="23" t="s">
        <v>137</v>
      </c>
      <c r="F514" s="80">
        <v>0</v>
      </c>
      <c r="G514" s="27">
        <v>600</v>
      </c>
      <c r="H514" s="116">
        <f>F514+G514</f>
        <v>600</v>
      </c>
      <c r="I514" s="123"/>
      <c r="J514" s="123"/>
      <c r="K514" s="123"/>
      <c r="L514" s="123"/>
      <c r="M514" s="123"/>
      <c r="N514" s="116">
        <v>600</v>
      </c>
      <c r="O514" s="116"/>
      <c r="P514" s="116">
        <f t="shared" si="50"/>
        <v>600</v>
      </c>
      <c r="Q514" s="116">
        <v>600</v>
      </c>
      <c r="R514" s="78"/>
      <c r="S514" s="116">
        <f t="shared" si="51"/>
        <v>600</v>
      </c>
    </row>
    <row r="515" spans="1:19" ht="15.75">
      <c r="A515" s="22" t="s">
        <v>180</v>
      </c>
      <c r="B515" s="23"/>
      <c r="C515" s="23" t="s">
        <v>37</v>
      </c>
      <c r="D515" s="24" t="s">
        <v>181</v>
      </c>
      <c r="E515" s="23"/>
      <c r="F515" s="145" t="e">
        <f>SUM(F516+F521)</f>
        <v>#REF!</v>
      </c>
      <c r="G515" s="13"/>
      <c r="H515" s="115">
        <f>SUM(H516+H521)</f>
        <v>1318600</v>
      </c>
      <c r="N515" s="115">
        <f>SUM(N516+N521)</f>
        <v>1314800</v>
      </c>
      <c r="O515" s="115"/>
      <c r="P515" s="115">
        <f>SUM(P516+P521)</f>
        <v>1314800</v>
      </c>
      <c r="Q515" s="115">
        <f>SUM(Q516+Q521)</f>
        <v>1314800</v>
      </c>
      <c r="R515" s="102"/>
      <c r="S515" s="115">
        <f>SUM(S516+S521)</f>
        <v>1314800</v>
      </c>
    </row>
    <row r="516" spans="1:19" ht="15.75">
      <c r="A516" s="50" t="s">
        <v>35</v>
      </c>
      <c r="B516" s="23"/>
      <c r="C516" s="23" t="s">
        <v>37</v>
      </c>
      <c r="D516" s="24" t="s">
        <v>178</v>
      </c>
      <c r="E516" s="23"/>
      <c r="F516" s="145" t="e">
        <f>#REF!+F517+F518+F519+F520+#REF!+#REF!</f>
        <v>#REF!</v>
      </c>
      <c r="G516" s="13"/>
      <c r="H516" s="115">
        <f>H517+H518+H519+H520</f>
        <v>752079</v>
      </c>
      <c r="I516" s="115">
        <f aca="true" t="shared" si="52" ref="I516:Q516">I517+I518+I519+I520</f>
        <v>0</v>
      </c>
      <c r="J516" s="115">
        <f t="shared" si="52"/>
        <v>0</v>
      </c>
      <c r="K516" s="115">
        <f t="shared" si="52"/>
        <v>0</v>
      </c>
      <c r="L516" s="115">
        <f t="shared" si="52"/>
        <v>0</v>
      </c>
      <c r="M516" s="115">
        <f t="shared" si="52"/>
        <v>0</v>
      </c>
      <c r="N516" s="115">
        <f t="shared" si="52"/>
        <v>751479</v>
      </c>
      <c r="O516" s="115"/>
      <c r="P516" s="115">
        <f>P517+P518+P519+P520</f>
        <v>751479</v>
      </c>
      <c r="Q516" s="115">
        <f t="shared" si="52"/>
        <v>751479</v>
      </c>
      <c r="R516" s="102"/>
      <c r="S516" s="115">
        <f>S517+S518+S519+S520</f>
        <v>751479</v>
      </c>
    </row>
    <row r="517" spans="1:19" ht="15.75">
      <c r="A517" s="41" t="s">
        <v>129</v>
      </c>
      <c r="B517" s="23"/>
      <c r="C517" s="23" t="s">
        <v>37</v>
      </c>
      <c r="D517" s="24" t="s">
        <v>178</v>
      </c>
      <c r="E517" s="23" t="s">
        <v>146</v>
      </c>
      <c r="F517" s="145">
        <v>0</v>
      </c>
      <c r="G517" s="13">
        <f>5079385+654122</f>
        <v>5733507</v>
      </c>
      <c r="H517" s="115">
        <v>712139</v>
      </c>
      <c r="N517" s="115">
        <v>712139</v>
      </c>
      <c r="O517" s="115"/>
      <c r="P517" s="116">
        <f aca="true" t="shared" si="53" ref="P517:P523">N517+O517</f>
        <v>712139</v>
      </c>
      <c r="Q517" s="115">
        <v>712139</v>
      </c>
      <c r="R517" s="102"/>
      <c r="S517" s="116">
        <f aca="true" t="shared" si="54" ref="S517:S523">Q517+R517</f>
        <v>712139</v>
      </c>
    </row>
    <row r="518" spans="1:19" ht="31.5">
      <c r="A518" s="41" t="s">
        <v>130</v>
      </c>
      <c r="B518" s="23"/>
      <c r="C518" s="23" t="s">
        <v>37</v>
      </c>
      <c r="D518" s="24" t="s">
        <v>178</v>
      </c>
      <c r="E518" s="23" t="s">
        <v>147</v>
      </c>
      <c r="F518" s="145">
        <v>0</v>
      </c>
      <c r="G518" s="13">
        <f>9600+1945</f>
        <v>11545</v>
      </c>
      <c r="H518" s="115">
        <v>2290</v>
      </c>
      <c r="N518" s="115">
        <v>2290</v>
      </c>
      <c r="O518" s="115"/>
      <c r="P518" s="116">
        <f t="shared" si="53"/>
        <v>2290</v>
      </c>
      <c r="Q518" s="115">
        <v>2290</v>
      </c>
      <c r="R518" s="102"/>
      <c r="S518" s="116">
        <f t="shared" si="54"/>
        <v>2290</v>
      </c>
    </row>
    <row r="519" spans="1:19" ht="34.5" customHeight="1">
      <c r="A519" s="41" t="s">
        <v>131</v>
      </c>
      <c r="B519" s="23" t="s">
        <v>153</v>
      </c>
      <c r="C519" s="23" t="s">
        <v>37</v>
      </c>
      <c r="D519" s="24" t="s">
        <v>178</v>
      </c>
      <c r="E519" s="23" t="s">
        <v>135</v>
      </c>
      <c r="F519" s="145">
        <v>0</v>
      </c>
      <c r="G519" s="13">
        <f>938300+26000</f>
        <v>964300</v>
      </c>
      <c r="H519" s="115">
        <v>11000</v>
      </c>
      <c r="N519" s="115">
        <v>11000</v>
      </c>
      <c r="O519" s="115"/>
      <c r="P519" s="116">
        <f t="shared" si="53"/>
        <v>11000</v>
      </c>
      <c r="Q519" s="115">
        <v>11000</v>
      </c>
      <c r="R519" s="102"/>
      <c r="S519" s="116">
        <f t="shared" si="54"/>
        <v>11000</v>
      </c>
    </row>
    <row r="520" spans="1:19" ht="34.5" customHeight="1">
      <c r="A520" s="41" t="s">
        <v>161</v>
      </c>
      <c r="B520" s="23" t="s">
        <v>153</v>
      </c>
      <c r="C520" s="23" t="s">
        <v>37</v>
      </c>
      <c r="D520" s="24" t="s">
        <v>178</v>
      </c>
      <c r="E520" s="23" t="s">
        <v>136</v>
      </c>
      <c r="F520" s="145">
        <v>0</v>
      </c>
      <c r="G520" s="13">
        <f>615700+27460</f>
        <v>643160</v>
      </c>
      <c r="H520" s="115">
        <v>26650</v>
      </c>
      <c r="N520" s="115">
        <v>26050</v>
      </c>
      <c r="O520" s="115"/>
      <c r="P520" s="116">
        <f t="shared" si="53"/>
        <v>26050</v>
      </c>
      <c r="Q520" s="115">
        <v>26050</v>
      </c>
      <c r="R520" s="102"/>
      <c r="S520" s="116">
        <f t="shared" si="54"/>
        <v>26050</v>
      </c>
    </row>
    <row r="521" spans="1:19" ht="33" customHeight="1">
      <c r="A521" s="50" t="s">
        <v>91</v>
      </c>
      <c r="B521" s="23"/>
      <c r="C521" s="23" t="s">
        <v>37</v>
      </c>
      <c r="D521" s="24" t="s">
        <v>179</v>
      </c>
      <c r="E521" s="23"/>
      <c r="F521" s="145">
        <f>F523+F522</f>
        <v>0</v>
      </c>
      <c r="G521" s="13"/>
      <c r="H521" s="115">
        <f>H523+H522</f>
        <v>566521</v>
      </c>
      <c r="N521" s="115">
        <f>N523+N522</f>
        <v>563321</v>
      </c>
      <c r="O521" s="115"/>
      <c r="P521" s="115">
        <f>P523+P522</f>
        <v>563321</v>
      </c>
      <c r="Q521" s="115">
        <f>Q523+Q522</f>
        <v>563321</v>
      </c>
      <c r="R521" s="102"/>
      <c r="S521" s="115">
        <f>S523+S522</f>
        <v>563321</v>
      </c>
    </row>
    <row r="522" spans="1:19" ht="15.75">
      <c r="A522" s="41" t="s">
        <v>129</v>
      </c>
      <c r="B522" s="23"/>
      <c r="C522" s="23" t="s">
        <v>37</v>
      </c>
      <c r="D522" s="24" t="s">
        <v>179</v>
      </c>
      <c r="E522" s="23" t="s">
        <v>146</v>
      </c>
      <c r="F522" s="145">
        <v>0</v>
      </c>
      <c r="G522" s="13">
        <v>603273</v>
      </c>
      <c r="H522" s="115">
        <v>563321</v>
      </c>
      <c r="N522" s="115">
        <v>563321</v>
      </c>
      <c r="O522" s="115"/>
      <c r="P522" s="116">
        <f t="shared" si="53"/>
        <v>563321</v>
      </c>
      <c r="Q522" s="115">
        <v>563321</v>
      </c>
      <c r="R522" s="102"/>
      <c r="S522" s="116">
        <f t="shared" si="54"/>
        <v>563321</v>
      </c>
    </row>
    <row r="523" spans="1:19" ht="31.5">
      <c r="A523" s="41" t="s">
        <v>130</v>
      </c>
      <c r="B523" s="23"/>
      <c r="C523" s="23" t="s">
        <v>37</v>
      </c>
      <c r="D523" s="24" t="s">
        <v>179</v>
      </c>
      <c r="E523" s="23" t="s">
        <v>147</v>
      </c>
      <c r="F523" s="145">
        <v>0</v>
      </c>
      <c r="G523" s="13">
        <v>3200</v>
      </c>
      <c r="H523" s="115">
        <f>F523+G523</f>
        <v>3200</v>
      </c>
      <c r="N523" s="115">
        <f>L523+M523</f>
        <v>0</v>
      </c>
      <c r="O523" s="115"/>
      <c r="P523" s="116">
        <f t="shared" si="53"/>
        <v>0</v>
      </c>
      <c r="Q523" s="115">
        <f>M523+N523</f>
        <v>0</v>
      </c>
      <c r="R523" s="102"/>
      <c r="S523" s="116">
        <f t="shared" si="54"/>
        <v>0</v>
      </c>
    </row>
    <row r="524" spans="1:19" ht="17.25" customHeight="1">
      <c r="A524" s="61" t="s">
        <v>421</v>
      </c>
      <c r="B524" s="23" t="s">
        <v>110</v>
      </c>
      <c r="C524" s="23" t="s">
        <v>92</v>
      </c>
      <c r="D524" s="24" t="s">
        <v>181</v>
      </c>
      <c r="E524" s="79"/>
      <c r="F524" s="39">
        <f>F525</f>
        <v>0</v>
      </c>
      <c r="G524" s="27"/>
      <c r="H524" s="115">
        <f>H525</f>
        <v>200000</v>
      </c>
      <c r="N524" s="115">
        <f>N525</f>
        <v>200000</v>
      </c>
      <c r="O524" s="115"/>
      <c r="P524" s="115">
        <f>P525</f>
        <v>200000</v>
      </c>
      <c r="Q524" s="115">
        <f>Q525</f>
        <v>200000</v>
      </c>
      <c r="R524" s="102"/>
      <c r="S524" s="115">
        <f>S525</f>
        <v>200000</v>
      </c>
    </row>
    <row r="525" spans="1:19" ht="17.25" customHeight="1">
      <c r="A525" s="66" t="s">
        <v>128</v>
      </c>
      <c r="B525" s="29" t="s">
        <v>110</v>
      </c>
      <c r="C525" s="23" t="s">
        <v>92</v>
      </c>
      <c r="D525" s="24" t="s">
        <v>414</v>
      </c>
      <c r="E525" s="29"/>
      <c r="F525" s="39">
        <f>F526</f>
        <v>0</v>
      </c>
      <c r="G525" s="27"/>
      <c r="H525" s="115">
        <f>H526</f>
        <v>200000</v>
      </c>
      <c r="N525" s="115">
        <f>N526</f>
        <v>200000</v>
      </c>
      <c r="O525" s="115"/>
      <c r="P525" s="115">
        <f>P526</f>
        <v>200000</v>
      </c>
      <c r="Q525" s="115">
        <f>Q526</f>
        <v>200000</v>
      </c>
      <c r="R525" s="102"/>
      <c r="S525" s="115">
        <f>S526</f>
        <v>200000</v>
      </c>
    </row>
    <row r="526" spans="1:19" ht="23.25" customHeight="1">
      <c r="A526" s="61" t="s">
        <v>526</v>
      </c>
      <c r="B526" s="29" t="s">
        <v>110</v>
      </c>
      <c r="C526" s="23" t="s">
        <v>92</v>
      </c>
      <c r="D526" s="24" t="s">
        <v>414</v>
      </c>
      <c r="E526" s="29" t="s">
        <v>149</v>
      </c>
      <c r="F526" s="39">
        <v>0</v>
      </c>
      <c r="G526" s="27">
        <v>400000</v>
      </c>
      <c r="H526" s="115">
        <v>200000</v>
      </c>
      <c r="N526" s="115">
        <v>200000</v>
      </c>
      <c r="O526" s="115"/>
      <c r="P526" s="116">
        <f>N526+O526</f>
        <v>200000</v>
      </c>
      <c r="Q526" s="115">
        <v>200000</v>
      </c>
      <c r="R526" s="102"/>
      <c r="S526" s="116">
        <f>Q526+R526</f>
        <v>200000</v>
      </c>
    </row>
    <row r="527" spans="1:19" ht="15.75">
      <c r="A527" s="50" t="s">
        <v>38</v>
      </c>
      <c r="B527" s="26"/>
      <c r="C527" s="23" t="s">
        <v>113</v>
      </c>
      <c r="D527" s="23"/>
      <c r="E527" s="23"/>
      <c r="F527" s="39" t="e">
        <f>SUM(F532+F547+#REF!+#REF!+#REF!+#REF!+#REF!+#REF!)</f>
        <v>#REF!</v>
      </c>
      <c r="G527" s="27"/>
      <c r="H527" s="115">
        <f>H528+H544+H547+H570+H563</f>
        <v>48333500</v>
      </c>
      <c r="N527" s="115">
        <f>N528+N544+N547+N570+N563</f>
        <v>25607229</v>
      </c>
      <c r="O527" s="115"/>
      <c r="P527" s="115">
        <f>P528+P544+P547+P570+P563</f>
        <v>25607229</v>
      </c>
      <c r="Q527" s="115">
        <f>Q528+Q544+Q547+Q570+Q563</f>
        <v>27583161</v>
      </c>
      <c r="R527" s="102"/>
      <c r="S527" s="115">
        <f>S528+S544+S547+S570+S563</f>
        <v>27583161</v>
      </c>
    </row>
    <row r="528" spans="1:19" ht="84.75" customHeight="1">
      <c r="A528" s="62" t="s">
        <v>412</v>
      </c>
      <c r="B528" s="26"/>
      <c r="C528" s="24" t="s">
        <v>113</v>
      </c>
      <c r="D528" s="24" t="s">
        <v>413</v>
      </c>
      <c r="E528" s="23"/>
      <c r="F528" s="39"/>
      <c r="G528" s="27"/>
      <c r="H528" s="115">
        <f>H529+H532</f>
        <v>2401400</v>
      </c>
      <c r="N528" s="115">
        <f>N529+N532</f>
        <v>2401400</v>
      </c>
      <c r="O528" s="115"/>
      <c r="P528" s="115">
        <f>P529+P532</f>
        <v>2401400</v>
      </c>
      <c r="Q528" s="115">
        <f>Q529+Q532</f>
        <v>2401400</v>
      </c>
      <c r="R528" s="102"/>
      <c r="S528" s="115">
        <f>S529+S532</f>
        <v>2401400</v>
      </c>
    </row>
    <row r="529" spans="1:19" ht="47.25">
      <c r="A529" s="34" t="s">
        <v>211</v>
      </c>
      <c r="B529" s="26"/>
      <c r="C529" s="24" t="s">
        <v>113</v>
      </c>
      <c r="D529" s="24" t="s">
        <v>212</v>
      </c>
      <c r="E529" s="23"/>
      <c r="F529" s="39"/>
      <c r="G529" s="27"/>
      <c r="H529" s="115">
        <f>H530</f>
        <v>50000</v>
      </c>
      <c r="N529" s="115">
        <f>N530</f>
        <v>50000</v>
      </c>
      <c r="O529" s="115"/>
      <c r="P529" s="115">
        <f>P530</f>
        <v>50000</v>
      </c>
      <c r="Q529" s="115">
        <f>Q530</f>
        <v>50000</v>
      </c>
      <c r="R529" s="102"/>
      <c r="S529" s="115">
        <f>S530</f>
        <v>50000</v>
      </c>
    </row>
    <row r="530" spans="1:19" ht="47.25">
      <c r="A530" s="50" t="s">
        <v>468</v>
      </c>
      <c r="B530" s="26"/>
      <c r="C530" s="24" t="s">
        <v>113</v>
      </c>
      <c r="D530" s="24" t="s">
        <v>469</v>
      </c>
      <c r="E530" s="23"/>
      <c r="F530" s="39"/>
      <c r="G530" s="27"/>
      <c r="H530" s="115">
        <f>H531</f>
        <v>50000</v>
      </c>
      <c r="N530" s="115">
        <f>N531</f>
        <v>50000</v>
      </c>
      <c r="O530" s="115"/>
      <c r="P530" s="115">
        <f>P531</f>
        <v>50000</v>
      </c>
      <c r="Q530" s="115">
        <f>Q531</f>
        <v>50000</v>
      </c>
      <c r="R530" s="102"/>
      <c r="S530" s="115">
        <f>S531</f>
        <v>50000</v>
      </c>
    </row>
    <row r="531" spans="1:19" ht="31.5">
      <c r="A531" s="41" t="s">
        <v>161</v>
      </c>
      <c r="B531" s="26"/>
      <c r="C531" s="24" t="s">
        <v>113</v>
      </c>
      <c r="D531" s="24" t="s">
        <v>469</v>
      </c>
      <c r="E531" s="23" t="s">
        <v>136</v>
      </c>
      <c r="F531" s="39"/>
      <c r="G531" s="27"/>
      <c r="H531" s="115">
        <v>50000</v>
      </c>
      <c r="N531" s="115">
        <v>50000</v>
      </c>
      <c r="O531" s="115"/>
      <c r="P531" s="116">
        <f>N531+O531</f>
        <v>50000</v>
      </c>
      <c r="Q531" s="115">
        <v>50000</v>
      </c>
      <c r="R531" s="102"/>
      <c r="S531" s="116">
        <f>Q531+R531</f>
        <v>50000</v>
      </c>
    </row>
    <row r="532" spans="1:19" ht="80.25" customHeight="1">
      <c r="A532" s="34" t="s">
        <v>208</v>
      </c>
      <c r="B532" s="158" t="s">
        <v>209</v>
      </c>
      <c r="C532" s="23" t="s">
        <v>113</v>
      </c>
      <c r="D532" s="24" t="s">
        <v>209</v>
      </c>
      <c r="E532" s="23"/>
      <c r="F532" s="39">
        <f>F533</f>
        <v>0</v>
      </c>
      <c r="G532" s="27"/>
      <c r="H532" s="115">
        <f>H533+H538+H542</f>
        <v>2351400</v>
      </c>
      <c r="N532" s="115">
        <f>N533+N538+N542</f>
        <v>2351400</v>
      </c>
      <c r="O532" s="115"/>
      <c r="P532" s="115">
        <f>P533+P538+P542</f>
        <v>2351400</v>
      </c>
      <c r="Q532" s="115">
        <f>Q533+Q538+Q542</f>
        <v>2351400</v>
      </c>
      <c r="R532" s="102"/>
      <c r="S532" s="115">
        <f>S533+S538+S542</f>
        <v>2351400</v>
      </c>
    </row>
    <row r="533" spans="1:19" ht="31.5">
      <c r="A533" s="50" t="s">
        <v>206</v>
      </c>
      <c r="B533" s="23"/>
      <c r="C533" s="23" t="s">
        <v>113</v>
      </c>
      <c r="D533" s="24" t="s">
        <v>400</v>
      </c>
      <c r="E533" s="23"/>
      <c r="F533" s="39">
        <f>F534+F535+F536+F537</f>
        <v>0</v>
      </c>
      <c r="G533" s="27"/>
      <c r="H533" s="115">
        <f>H534+H535+H536+H537</f>
        <v>1459400</v>
      </c>
      <c r="N533" s="115">
        <f>N534+N535+N536+N537</f>
        <v>1459400</v>
      </c>
      <c r="O533" s="115"/>
      <c r="P533" s="115">
        <f>P534+P535+P536+P537</f>
        <v>1459400</v>
      </c>
      <c r="Q533" s="115">
        <f>Q534+Q535+Q536+Q537</f>
        <v>1459400</v>
      </c>
      <c r="R533" s="102"/>
      <c r="S533" s="115">
        <f>S534+S535+S536+S537</f>
        <v>1459400</v>
      </c>
    </row>
    <row r="534" spans="1:19" ht="18" customHeight="1">
      <c r="A534" s="41" t="s">
        <v>129</v>
      </c>
      <c r="B534" s="23" t="s">
        <v>109</v>
      </c>
      <c r="C534" s="23" t="s">
        <v>113</v>
      </c>
      <c r="D534" s="24" t="s">
        <v>400</v>
      </c>
      <c r="E534" s="23" t="s">
        <v>146</v>
      </c>
      <c r="F534" s="146">
        <v>0</v>
      </c>
      <c r="G534" s="27">
        <v>1143198</v>
      </c>
      <c r="H534" s="116">
        <v>1388068</v>
      </c>
      <c r="N534" s="116">
        <v>1388068</v>
      </c>
      <c r="O534" s="116"/>
      <c r="P534" s="116">
        <f aca="true" t="shared" si="55" ref="P534:P543">N534+O534</f>
        <v>1388068</v>
      </c>
      <c r="Q534" s="116">
        <v>1388068</v>
      </c>
      <c r="R534" s="102"/>
      <c r="S534" s="116">
        <f aca="true" t="shared" si="56" ref="S534:S543">Q534+R534</f>
        <v>1388068</v>
      </c>
    </row>
    <row r="535" spans="1:19" ht="34.5" customHeight="1">
      <c r="A535" s="41" t="s">
        <v>130</v>
      </c>
      <c r="B535" s="23" t="s">
        <v>109</v>
      </c>
      <c r="C535" s="23" t="s">
        <v>113</v>
      </c>
      <c r="D535" s="24" t="s">
        <v>400</v>
      </c>
      <c r="E535" s="23" t="s">
        <v>147</v>
      </c>
      <c r="F535" s="146">
        <v>0</v>
      </c>
      <c r="G535" s="27">
        <v>3500</v>
      </c>
      <c r="H535" s="116">
        <v>1000</v>
      </c>
      <c r="N535" s="116">
        <v>1000</v>
      </c>
      <c r="O535" s="116"/>
      <c r="P535" s="116">
        <f t="shared" si="55"/>
        <v>1000</v>
      </c>
      <c r="Q535" s="116">
        <v>1000</v>
      </c>
      <c r="R535" s="102"/>
      <c r="S535" s="116">
        <f t="shared" si="56"/>
        <v>1000</v>
      </c>
    </row>
    <row r="536" spans="1:19" ht="36" customHeight="1">
      <c r="A536" s="41" t="s">
        <v>131</v>
      </c>
      <c r="B536" s="23" t="s">
        <v>109</v>
      </c>
      <c r="C536" s="23" t="s">
        <v>113</v>
      </c>
      <c r="D536" s="24" t="s">
        <v>400</v>
      </c>
      <c r="E536" s="23" t="s">
        <v>135</v>
      </c>
      <c r="F536" s="146">
        <v>0</v>
      </c>
      <c r="G536" s="27">
        <v>89500</v>
      </c>
      <c r="H536" s="116">
        <v>58072</v>
      </c>
      <c r="N536" s="116">
        <v>58072</v>
      </c>
      <c r="O536" s="116"/>
      <c r="P536" s="116">
        <f t="shared" si="55"/>
        <v>58072</v>
      </c>
      <c r="Q536" s="116">
        <v>58072</v>
      </c>
      <c r="R536" s="102"/>
      <c r="S536" s="116">
        <f t="shared" si="56"/>
        <v>58072</v>
      </c>
    </row>
    <row r="537" spans="1:19" ht="34.5" customHeight="1">
      <c r="A537" s="41" t="s">
        <v>161</v>
      </c>
      <c r="B537" s="23" t="s">
        <v>109</v>
      </c>
      <c r="C537" s="23" t="s">
        <v>113</v>
      </c>
      <c r="D537" s="24" t="s">
        <v>400</v>
      </c>
      <c r="E537" s="23" t="s">
        <v>136</v>
      </c>
      <c r="F537" s="146">
        <v>0</v>
      </c>
      <c r="G537" s="27">
        <v>34902</v>
      </c>
      <c r="H537" s="116">
        <v>12260</v>
      </c>
      <c r="N537" s="116">
        <v>12260</v>
      </c>
      <c r="O537" s="116"/>
      <c r="P537" s="116">
        <f t="shared" si="55"/>
        <v>12260</v>
      </c>
      <c r="Q537" s="116">
        <v>12260</v>
      </c>
      <c r="R537" s="102"/>
      <c r="S537" s="116">
        <f t="shared" si="56"/>
        <v>12260</v>
      </c>
    </row>
    <row r="538" spans="1:19" ht="31.5">
      <c r="A538" s="50" t="s">
        <v>108</v>
      </c>
      <c r="B538" s="25"/>
      <c r="C538" s="23" t="s">
        <v>113</v>
      </c>
      <c r="D538" s="24" t="s">
        <v>210</v>
      </c>
      <c r="E538" s="23"/>
      <c r="F538" s="39">
        <f>F539+F540+F541</f>
        <v>0</v>
      </c>
      <c r="G538" s="27"/>
      <c r="H538" s="115">
        <f>H539+H540+H541</f>
        <v>792000</v>
      </c>
      <c r="N538" s="115">
        <f>N539+N540+N541</f>
        <v>792000</v>
      </c>
      <c r="O538" s="115"/>
      <c r="P538" s="115">
        <f>P539+P540+P541</f>
        <v>792000</v>
      </c>
      <c r="Q538" s="115">
        <f>Q539+Q540+Q541</f>
        <v>792000</v>
      </c>
      <c r="R538" s="102"/>
      <c r="S538" s="115">
        <f>S539+S540+S541</f>
        <v>792000</v>
      </c>
    </row>
    <row r="539" spans="1:19" ht="22.5" customHeight="1">
      <c r="A539" s="41" t="s">
        <v>129</v>
      </c>
      <c r="B539" s="23" t="s">
        <v>109</v>
      </c>
      <c r="C539" s="23" t="s">
        <v>113</v>
      </c>
      <c r="D539" s="24" t="s">
        <v>210</v>
      </c>
      <c r="E539" s="23" t="s">
        <v>133</v>
      </c>
      <c r="F539" s="146">
        <v>0</v>
      </c>
      <c r="G539" s="27">
        <v>650126</v>
      </c>
      <c r="H539" s="116">
        <v>697474</v>
      </c>
      <c r="N539" s="116">
        <v>697474</v>
      </c>
      <c r="O539" s="116"/>
      <c r="P539" s="116">
        <f t="shared" si="55"/>
        <v>697474</v>
      </c>
      <c r="Q539" s="116">
        <v>697474</v>
      </c>
      <c r="R539" s="102"/>
      <c r="S539" s="116">
        <f t="shared" si="56"/>
        <v>697474</v>
      </c>
    </row>
    <row r="540" spans="1:19" ht="31.5" customHeight="1">
      <c r="A540" s="41" t="s">
        <v>131</v>
      </c>
      <c r="B540" s="23" t="s">
        <v>109</v>
      </c>
      <c r="C540" s="23" t="s">
        <v>113</v>
      </c>
      <c r="D540" s="24" t="s">
        <v>210</v>
      </c>
      <c r="E540" s="23" t="s">
        <v>135</v>
      </c>
      <c r="F540" s="146">
        <v>0</v>
      </c>
      <c r="G540" s="27">
        <v>31660</v>
      </c>
      <c r="H540" s="116">
        <v>33026</v>
      </c>
      <c r="N540" s="116">
        <v>33026</v>
      </c>
      <c r="O540" s="116"/>
      <c r="P540" s="116">
        <f t="shared" si="55"/>
        <v>33026</v>
      </c>
      <c r="Q540" s="116">
        <v>33026</v>
      </c>
      <c r="R540" s="102"/>
      <c r="S540" s="116">
        <f t="shared" si="56"/>
        <v>33026</v>
      </c>
    </row>
    <row r="541" spans="1:19" ht="37.5" customHeight="1">
      <c r="A541" s="41" t="s">
        <v>161</v>
      </c>
      <c r="B541" s="23" t="s">
        <v>109</v>
      </c>
      <c r="C541" s="23" t="s">
        <v>113</v>
      </c>
      <c r="D541" s="24" t="s">
        <v>210</v>
      </c>
      <c r="E541" s="23" t="s">
        <v>136</v>
      </c>
      <c r="F541" s="146">
        <v>0</v>
      </c>
      <c r="G541" s="27">
        <v>21214</v>
      </c>
      <c r="H541" s="116">
        <v>61500</v>
      </c>
      <c r="N541" s="116">
        <v>61500</v>
      </c>
      <c r="O541" s="116"/>
      <c r="P541" s="116">
        <f t="shared" si="55"/>
        <v>61500</v>
      </c>
      <c r="Q541" s="116">
        <v>61500</v>
      </c>
      <c r="R541" s="102"/>
      <c r="S541" s="116">
        <f t="shared" si="56"/>
        <v>61500</v>
      </c>
    </row>
    <row r="542" spans="1:19" ht="15.75">
      <c r="A542" s="41" t="s">
        <v>420</v>
      </c>
      <c r="B542" s="25"/>
      <c r="C542" s="24" t="s">
        <v>113</v>
      </c>
      <c r="D542" s="24" t="s">
        <v>467</v>
      </c>
      <c r="E542" s="23"/>
      <c r="F542" s="146"/>
      <c r="G542" s="27"/>
      <c r="H542" s="116">
        <f>H543</f>
        <v>100000</v>
      </c>
      <c r="N542" s="116">
        <f>N543</f>
        <v>100000</v>
      </c>
      <c r="O542" s="116"/>
      <c r="P542" s="116">
        <f>P543</f>
        <v>100000</v>
      </c>
      <c r="Q542" s="116">
        <f>Q543</f>
        <v>100000</v>
      </c>
      <c r="R542" s="102"/>
      <c r="S542" s="116">
        <f>S543</f>
        <v>100000</v>
      </c>
    </row>
    <row r="543" spans="1:19" ht="31.5">
      <c r="A543" s="41" t="s">
        <v>161</v>
      </c>
      <c r="B543" s="23"/>
      <c r="C543" s="23" t="s">
        <v>113</v>
      </c>
      <c r="D543" s="24" t="s">
        <v>467</v>
      </c>
      <c r="E543" s="23" t="s">
        <v>136</v>
      </c>
      <c r="F543" s="146"/>
      <c r="G543" s="27"/>
      <c r="H543" s="116">
        <v>100000</v>
      </c>
      <c r="N543" s="116">
        <v>100000</v>
      </c>
      <c r="O543" s="116"/>
      <c r="P543" s="116">
        <f t="shared" si="55"/>
        <v>100000</v>
      </c>
      <c r="Q543" s="116">
        <v>100000</v>
      </c>
      <c r="R543" s="102"/>
      <c r="S543" s="116">
        <f t="shared" si="56"/>
        <v>100000</v>
      </c>
    </row>
    <row r="544" spans="1:19" ht="133.5" customHeight="1">
      <c r="A544" s="57" t="s">
        <v>371</v>
      </c>
      <c r="B544" s="14"/>
      <c r="C544" s="24" t="s">
        <v>113</v>
      </c>
      <c r="D544" s="24" t="s">
        <v>374</v>
      </c>
      <c r="E544" s="23"/>
      <c r="F544" s="39" t="e">
        <f>F546+#REF!</f>
        <v>#REF!</v>
      </c>
      <c r="G544" s="27"/>
      <c r="H544" s="115">
        <f>H545</f>
        <v>50000</v>
      </c>
      <c r="I544" s="115">
        <f aca="true" t="shared" si="57" ref="I544:S544">I545</f>
        <v>0</v>
      </c>
      <c r="J544" s="115">
        <f t="shared" si="57"/>
        <v>0</v>
      </c>
      <c r="K544" s="115">
        <f t="shared" si="57"/>
        <v>0</v>
      </c>
      <c r="L544" s="115">
        <f t="shared" si="57"/>
        <v>0</v>
      </c>
      <c r="M544" s="115">
        <f t="shared" si="57"/>
        <v>0</v>
      </c>
      <c r="N544" s="115">
        <f t="shared" si="57"/>
        <v>50000</v>
      </c>
      <c r="O544" s="115"/>
      <c r="P544" s="115">
        <f t="shared" si="57"/>
        <v>50000</v>
      </c>
      <c r="Q544" s="115">
        <f t="shared" si="57"/>
        <v>50000</v>
      </c>
      <c r="R544" s="102"/>
      <c r="S544" s="115">
        <f t="shared" si="57"/>
        <v>50000</v>
      </c>
    </row>
    <row r="545" spans="1:19" ht="31.5">
      <c r="A545" s="33" t="s">
        <v>376</v>
      </c>
      <c r="B545" s="14"/>
      <c r="C545" s="23" t="s">
        <v>113</v>
      </c>
      <c r="D545" s="24" t="s">
        <v>377</v>
      </c>
      <c r="E545" s="23"/>
      <c r="F545" s="39">
        <v>0</v>
      </c>
      <c r="G545" s="27">
        <v>200000</v>
      </c>
      <c r="H545" s="115">
        <f>H546</f>
        <v>50000</v>
      </c>
      <c r="N545" s="115">
        <f>N546</f>
        <v>50000</v>
      </c>
      <c r="O545" s="115"/>
      <c r="P545" s="115">
        <f>P546</f>
        <v>50000</v>
      </c>
      <c r="Q545" s="115">
        <f>Q546</f>
        <v>50000</v>
      </c>
      <c r="R545" s="102"/>
      <c r="S545" s="115">
        <f>S546</f>
        <v>50000</v>
      </c>
    </row>
    <row r="546" spans="1:19" ht="30" customHeight="1">
      <c r="A546" s="41" t="s">
        <v>161</v>
      </c>
      <c r="B546" s="24" t="s">
        <v>109</v>
      </c>
      <c r="C546" s="24" t="s">
        <v>113</v>
      </c>
      <c r="D546" s="24" t="s">
        <v>378</v>
      </c>
      <c r="E546" s="24" t="s">
        <v>136</v>
      </c>
      <c r="F546" s="39"/>
      <c r="G546" s="27"/>
      <c r="H546" s="115">
        <v>50000</v>
      </c>
      <c r="N546" s="115">
        <v>50000</v>
      </c>
      <c r="O546" s="115"/>
      <c r="P546" s="116">
        <f>N546+O546</f>
        <v>50000</v>
      </c>
      <c r="Q546" s="115">
        <v>50000</v>
      </c>
      <c r="R546" s="102"/>
      <c r="S546" s="116">
        <f>Q546+R546</f>
        <v>50000</v>
      </c>
    </row>
    <row r="547" spans="1:19" ht="78.75">
      <c r="A547" s="57" t="s">
        <v>379</v>
      </c>
      <c r="B547" s="17"/>
      <c r="C547" s="23" t="s">
        <v>113</v>
      </c>
      <c r="D547" s="24" t="s">
        <v>381</v>
      </c>
      <c r="E547" s="23"/>
      <c r="F547" s="39" t="e">
        <f>SUM(#REF!+F557+#REF!+#REF!)</f>
        <v>#REF!</v>
      </c>
      <c r="G547" s="27"/>
      <c r="H547" s="115">
        <f>H548+H557</f>
        <v>11804000</v>
      </c>
      <c r="I547" s="115">
        <f aca="true" t="shared" si="58" ref="I547:Q547">I548+I557</f>
        <v>0</v>
      </c>
      <c r="J547" s="115">
        <f t="shared" si="58"/>
        <v>0</v>
      </c>
      <c r="K547" s="115">
        <f t="shared" si="58"/>
        <v>0</v>
      </c>
      <c r="L547" s="115">
        <f t="shared" si="58"/>
        <v>0</v>
      </c>
      <c r="M547" s="115">
        <f t="shared" si="58"/>
        <v>0</v>
      </c>
      <c r="N547" s="115">
        <f t="shared" si="58"/>
        <v>11804000</v>
      </c>
      <c r="O547" s="115"/>
      <c r="P547" s="115">
        <f>P548+P557</f>
        <v>11804000</v>
      </c>
      <c r="Q547" s="115">
        <f t="shared" si="58"/>
        <v>11804000</v>
      </c>
      <c r="R547" s="102"/>
      <c r="S547" s="115">
        <f>S548+S557</f>
        <v>11804000</v>
      </c>
    </row>
    <row r="548" spans="1:19" ht="54" customHeight="1">
      <c r="A548" s="33" t="s">
        <v>393</v>
      </c>
      <c r="B548" s="14"/>
      <c r="C548" s="24" t="s">
        <v>113</v>
      </c>
      <c r="D548" s="24" t="s">
        <v>394</v>
      </c>
      <c r="E548" s="23"/>
      <c r="F548" s="80"/>
      <c r="G548" s="27"/>
      <c r="H548" s="116">
        <f>H549+H551+H553</f>
        <v>852200</v>
      </c>
      <c r="I548" s="116">
        <f aca="true" t="shared" si="59" ref="I548:Q548">I549+I551+I553</f>
        <v>0</v>
      </c>
      <c r="J548" s="116">
        <f t="shared" si="59"/>
        <v>0</v>
      </c>
      <c r="K548" s="116">
        <f t="shared" si="59"/>
        <v>0</v>
      </c>
      <c r="L548" s="116">
        <f t="shared" si="59"/>
        <v>0</v>
      </c>
      <c r="M548" s="116">
        <f t="shared" si="59"/>
        <v>0</v>
      </c>
      <c r="N548" s="116">
        <f t="shared" si="59"/>
        <v>852200</v>
      </c>
      <c r="O548" s="116"/>
      <c r="P548" s="116">
        <f>P549+P551+P553</f>
        <v>852200</v>
      </c>
      <c r="Q548" s="116">
        <f t="shared" si="59"/>
        <v>852200</v>
      </c>
      <c r="R548" s="102"/>
      <c r="S548" s="116">
        <f>S549+S551+S553</f>
        <v>852200</v>
      </c>
    </row>
    <row r="549" spans="1:19" ht="47.25">
      <c r="A549" s="33" t="s">
        <v>169</v>
      </c>
      <c r="B549" s="14"/>
      <c r="C549" s="24" t="s">
        <v>113</v>
      </c>
      <c r="D549" s="24" t="s">
        <v>398</v>
      </c>
      <c r="E549" s="23"/>
      <c r="F549" s="80"/>
      <c r="G549" s="27"/>
      <c r="H549" s="116">
        <f>H550</f>
        <v>181000</v>
      </c>
      <c r="N549" s="116">
        <f>N550</f>
        <v>181000</v>
      </c>
      <c r="O549" s="116"/>
      <c r="P549" s="116">
        <f>P550</f>
        <v>181000</v>
      </c>
      <c r="Q549" s="116">
        <f>Q550</f>
        <v>181000</v>
      </c>
      <c r="R549" s="102"/>
      <c r="S549" s="116">
        <f>S550</f>
        <v>181000</v>
      </c>
    </row>
    <row r="550" spans="1:19" ht="31.5">
      <c r="A550" s="41" t="s">
        <v>161</v>
      </c>
      <c r="B550" s="14"/>
      <c r="C550" s="24" t="s">
        <v>113</v>
      </c>
      <c r="D550" s="24" t="s">
        <v>398</v>
      </c>
      <c r="E550" s="24" t="s">
        <v>136</v>
      </c>
      <c r="F550" s="80"/>
      <c r="G550" s="27"/>
      <c r="H550" s="116">
        <v>181000</v>
      </c>
      <c r="N550" s="116">
        <v>181000</v>
      </c>
      <c r="O550" s="116"/>
      <c r="P550" s="116">
        <f aca="true" t="shared" si="60" ref="P550:P556">N550+O550</f>
        <v>181000</v>
      </c>
      <c r="Q550" s="116">
        <v>181000</v>
      </c>
      <c r="R550" s="102"/>
      <c r="S550" s="116">
        <f aca="true" t="shared" si="61" ref="S550:S556">Q550+R550</f>
        <v>181000</v>
      </c>
    </row>
    <row r="551" spans="1:19" ht="31.5">
      <c r="A551" s="77" t="s">
        <v>397</v>
      </c>
      <c r="B551" s="14"/>
      <c r="C551" s="24" t="s">
        <v>113</v>
      </c>
      <c r="D551" s="24" t="s">
        <v>399</v>
      </c>
      <c r="E551" s="23"/>
      <c r="F551" s="80"/>
      <c r="G551" s="27"/>
      <c r="H551" s="116">
        <f>H552</f>
        <v>48200</v>
      </c>
      <c r="N551" s="116">
        <f>N552</f>
        <v>48200</v>
      </c>
      <c r="O551" s="116"/>
      <c r="P551" s="116">
        <f>P552</f>
        <v>48200</v>
      </c>
      <c r="Q551" s="116">
        <f>Q552</f>
        <v>48200</v>
      </c>
      <c r="R551" s="102"/>
      <c r="S551" s="116">
        <f>S552</f>
        <v>48200</v>
      </c>
    </row>
    <row r="552" spans="1:19" ht="31.5">
      <c r="A552" s="41" t="s">
        <v>148</v>
      </c>
      <c r="B552" s="14"/>
      <c r="C552" s="24" t="s">
        <v>113</v>
      </c>
      <c r="D552" s="24" t="s">
        <v>399</v>
      </c>
      <c r="E552" s="24" t="s">
        <v>137</v>
      </c>
      <c r="F552" s="80"/>
      <c r="G552" s="27"/>
      <c r="H552" s="116">
        <v>48200</v>
      </c>
      <c r="N552" s="116">
        <v>48200</v>
      </c>
      <c r="O552" s="116"/>
      <c r="P552" s="116">
        <f t="shared" si="60"/>
        <v>48200</v>
      </c>
      <c r="Q552" s="116">
        <v>48200</v>
      </c>
      <c r="R552" s="102"/>
      <c r="S552" s="116">
        <f t="shared" si="61"/>
        <v>48200</v>
      </c>
    </row>
    <row r="553" spans="1:19" ht="78.75">
      <c r="A553" s="76" t="s">
        <v>396</v>
      </c>
      <c r="B553" s="14"/>
      <c r="C553" s="23" t="s">
        <v>113</v>
      </c>
      <c r="D553" s="24" t="s">
        <v>395</v>
      </c>
      <c r="E553" s="23"/>
      <c r="F553" s="80"/>
      <c r="G553" s="27"/>
      <c r="H553" s="116">
        <f>H554</f>
        <v>623000</v>
      </c>
      <c r="N553" s="116">
        <f>N554</f>
        <v>623000</v>
      </c>
      <c r="O553" s="116"/>
      <c r="P553" s="116">
        <f>P554</f>
        <v>623000</v>
      </c>
      <c r="Q553" s="116">
        <f>Q554</f>
        <v>623000</v>
      </c>
      <c r="R553" s="102"/>
      <c r="S553" s="116">
        <f>S554</f>
        <v>623000</v>
      </c>
    </row>
    <row r="554" spans="1:19" ht="31.5">
      <c r="A554" s="41" t="s">
        <v>161</v>
      </c>
      <c r="B554" s="14"/>
      <c r="C554" s="23" t="s">
        <v>113</v>
      </c>
      <c r="D554" s="24" t="s">
        <v>395</v>
      </c>
      <c r="E554" s="23" t="s">
        <v>136</v>
      </c>
      <c r="F554" s="80">
        <v>0</v>
      </c>
      <c r="G554" s="27">
        <v>208000</v>
      </c>
      <c r="H554" s="116">
        <v>623000</v>
      </c>
      <c r="N554" s="116">
        <v>623000</v>
      </c>
      <c r="O554" s="116"/>
      <c r="P554" s="116">
        <f t="shared" si="60"/>
        <v>623000</v>
      </c>
      <c r="Q554" s="116">
        <v>623000</v>
      </c>
      <c r="R554" s="102"/>
      <c r="S554" s="116">
        <f t="shared" si="61"/>
        <v>623000</v>
      </c>
    </row>
    <row r="555" spans="1:19" ht="31.5">
      <c r="A555" s="41" t="s">
        <v>129</v>
      </c>
      <c r="B555" s="23"/>
      <c r="C555" s="23" t="s">
        <v>113</v>
      </c>
      <c r="D555" s="24" t="s">
        <v>408</v>
      </c>
      <c r="E555" s="24" t="s">
        <v>133</v>
      </c>
      <c r="F555" s="39"/>
      <c r="G555" s="78">
        <v>14749</v>
      </c>
      <c r="H555" s="115">
        <v>84212</v>
      </c>
      <c r="N555" s="115">
        <v>88612</v>
      </c>
      <c r="O555" s="115"/>
      <c r="P555" s="116">
        <f t="shared" si="60"/>
        <v>88612</v>
      </c>
      <c r="Q555" s="115">
        <v>93212</v>
      </c>
      <c r="R555" s="102"/>
      <c r="S555" s="116">
        <f t="shared" si="61"/>
        <v>93212</v>
      </c>
    </row>
    <row r="556" spans="1:19" ht="35.25" customHeight="1">
      <c r="A556" s="41" t="s">
        <v>161</v>
      </c>
      <c r="B556" s="23" t="s">
        <v>110</v>
      </c>
      <c r="C556" s="23" t="s">
        <v>113</v>
      </c>
      <c r="D556" s="24" t="s">
        <v>408</v>
      </c>
      <c r="E556" s="23" t="s">
        <v>136</v>
      </c>
      <c r="F556" s="39">
        <v>0</v>
      </c>
      <c r="G556" s="78">
        <v>68651</v>
      </c>
      <c r="H556" s="115">
        <v>3288</v>
      </c>
      <c r="N556" s="115">
        <v>3288</v>
      </c>
      <c r="O556" s="115"/>
      <c r="P556" s="116">
        <f t="shared" si="60"/>
        <v>3288</v>
      </c>
      <c r="Q556" s="115">
        <v>3288</v>
      </c>
      <c r="R556" s="102"/>
      <c r="S556" s="116">
        <f t="shared" si="61"/>
        <v>3288</v>
      </c>
    </row>
    <row r="557" spans="1:19" ht="69" customHeight="1">
      <c r="A557" s="41" t="s">
        <v>388</v>
      </c>
      <c r="B557" s="23"/>
      <c r="C557" s="23" t="s">
        <v>113</v>
      </c>
      <c r="D557" s="24" t="s">
        <v>389</v>
      </c>
      <c r="E557" s="23"/>
      <c r="F557" s="39" t="e">
        <f>F559+F560+F561+#REF!</f>
        <v>#REF!</v>
      </c>
      <c r="G557" s="27"/>
      <c r="H557" s="115">
        <f>H558</f>
        <v>10951800</v>
      </c>
      <c r="N557" s="115">
        <f>N558</f>
        <v>10951800</v>
      </c>
      <c r="O557" s="115"/>
      <c r="P557" s="115">
        <f>P558</f>
        <v>10951800</v>
      </c>
      <c r="Q557" s="115">
        <f>Q558</f>
        <v>10951800</v>
      </c>
      <c r="R557" s="102"/>
      <c r="S557" s="115">
        <f>S558</f>
        <v>10951800</v>
      </c>
    </row>
    <row r="558" spans="1:19" ht="31.5">
      <c r="A558" s="41" t="s">
        <v>391</v>
      </c>
      <c r="B558" s="23"/>
      <c r="C558" s="24" t="s">
        <v>113</v>
      </c>
      <c r="D558" s="24" t="s">
        <v>392</v>
      </c>
      <c r="E558" s="23"/>
      <c r="F558" s="39"/>
      <c r="G558" s="27"/>
      <c r="H558" s="115">
        <f>H560+H561+H559+H562</f>
        <v>10951800</v>
      </c>
      <c r="N558" s="115">
        <f>N560+N561+N559+N562</f>
        <v>10951800</v>
      </c>
      <c r="O558" s="115"/>
      <c r="P558" s="115">
        <f>P560+P561+P559+P562</f>
        <v>10951800</v>
      </c>
      <c r="Q558" s="115">
        <f>Q560+Q561+Q559+Q562</f>
        <v>10951800</v>
      </c>
      <c r="R558" s="102"/>
      <c r="S558" s="115">
        <f>S560+S561+S559+S562</f>
        <v>10951800</v>
      </c>
    </row>
    <row r="559" spans="1:19" ht="24" customHeight="1">
      <c r="A559" s="41" t="s">
        <v>129</v>
      </c>
      <c r="B559" s="23" t="s">
        <v>110</v>
      </c>
      <c r="C559" s="23" t="s">
        <v>113</v>
      </c>
      <c r="D559" s="24" t="s">
        <v>390</v>
      </c>
      <c r="E559" s="23" t="s">
        <v>133</v>
      </c>
      <c r="F559" s="80">
        <v>0</v>
      </c>
      <c r="G559" s="35">
        <v>12322429</v>
      </c>
      <c r="H559" s="116">
        <v>10032374</v>
      </c>
      <c r="N559" s="116">
        <v>10032374</v>
      </c>
      <c r="O559" s="116"/>
      <c r="P559" s="116">
        <f>N559+O559</f>
        <v>10032374</v>
      </c>
      <c r="Q559" s="116">
        <v>10032374</v>
      </c>
      <c r="R559" s="102"/>
      <c r="S559" s="116">
        <f>Q559+R559</f>
        <v>10032374</v>
      </c>
    </row>
    <row r="560" spans="1:19" ht="36" customHeight="1">
      <c r="A560" s="41" t="s">
        <v>130</v>
      </c>
      <c r="B560" s="23" t="s">
        <v>110</v>
      </c>
      <c r="C560" s="23" t="s">
        <v>113</v>
      </c>
      <c r="D560" s="24" t="s">
        <v>390</v>
      </c>
      <c r="E560" s="23" t="s">
        <v>134</v>
      </c>
      <c r="F560" s="80">
        <v>0</v>
      </c>
      <c r="G560" s="24" t="s">
        <v>173</v>
      </c>
      <c r="H560" s="116">
        <v>1380</v>
      </c>
      <c r="N560" s="116">
        <v>1380</v>
      </c>
      <c r="O560" s="116"/>
      <c r="P560" s="116">
        <f>N560+O560</f>
        <v>1380</v>
      </c>
      <c r="Q560" s="116">
        <v>1380</v>
      </c>
      <c r="R560" s="102"/>
      <c r="S560" s="116">
        <f>Q560+R560</f>
        <v>1380</v>
      </c>
    </row>
    <row r="561" spans="1:19" ht="38.25" customHeight="1">
      <c r="A561" s="41" t="s">
        <v>131</v>
      </c>
      <c r="B561" s="23" t="s">
        <v>110</v>
      </c>
      <c r="C561" s="23" t="s">
        <v>113</v>
      </c>
      <c r="D561" s="24" t="s">
        <v>390</v>
      </c>
      <c r="E561" s="23" t="s">
        <v>135</v>
      </c>
      <c r="F561" s="80">
        <v>0</v>
      </c>
      <c r="G561" s="35">
        <v>747684</v>
      </c>
      <c r="H561" s="116">
        <v>667639</v>
      </c>
      <c r="N561" s="116">
        <v>667639</v>
      </c>
      <c r="O561" s="116"/>
      <c r="P561" s="116">
        <f>N561+O561</f>
        <v>667639</v>
      </c>
      <c r="Q561" s="116">
        <v>667639</v>
      </c>
      <c r="R561" s="102"/>
      <c r="S561" s="116">
        <f>Q561+R561</f>
        <v>667639</v>
      </c>
    </row>
    <row r="562" spans="1:19" ht="35.25" customHeight="1">
      <c r="A562" s="41" t="s">
        <v>161</v>
      </c>
      <c r="B562" s="23" t="s">
        <v>110</v>
      </c>
      <c r="C562" s="23" t="s">
        <v>113</v>
      </c>
      <c r="D562" s="24" t="s">
        <v>390</v>
      </c>
      <c r="E562" s="23" t="s">
        <v>136</v>
      </c>
      <c r="F562" s="80">
        <v>0</v>
      </c>
      <c r="G562" s="35">
        <v>773887</v>
      </c>
      <c r="H562" s="116">
        <v>250407</v>
      </c>
      <c r="N562" s="116">
        <v>250407</v>
      </c>
      <c r="O562" s="116"/>
      <c r="P562" s="116">
        <f>N562+O562</f>
        <v>250407</v>
      </c>
      <c r="Q562" s="116">
        <v>250407</v>
      </c>
      <c r="R562" s="102"/>
      <c r="S562" s="116">
        <f>Q562+R562</f>
        <v>250407</v>
      </c>
    </row>
    <row r="563" spans="1:19" ht="94.5">
      <c r="A563" s="164" t="s">
        <v>219</v>
      </c>
      <c r="B563" s="24" t="s">
        <v>110</v>
      </c>
      <c r="C563" s="24" t="s">
        <v>113</v>
      </c>
      <c r="D563" s="24" t="s">
        <v>39</v>
      </c>
      <c r="E563" s="24"/>
      <c r="F563" s="80" t="e">
        <f>#REF!+#REF!+F564</f>
        <v>#REF!</v>
      </c>
      <c r="G563" s="24"/>
      <c r="H563" s="116">
        <f>H564</f>
        <v>3500000</v>
      </c>
      <c r="N563" s="116">
        <f>N564</f>
        <v>3500000</v>
      </c>
      <c r="O563" s="116"/>
      <c r="P563" s="116">
        <f>P564</f>
        <v>3500000</v>
      </c>
      <c r="Q563" s="116">
        <f>Q564</f>
        <v>3500000</v>
      </c>
      <c r="R563" s="102"/>
      <c r="S563" s="116">
        <f>S564</f>
        <v>3500000</v>
      </c>
    </row>
    <row r="564" spans="1:19" ht="38.25" customHeight="1">
      <c r="A564" s="65" t="s">
        <v>221</v>
      </c>
      <c r="B564" s="24" t="s">
        <v>110</v>
      </c>
      <c r="C564" s="24" t="s">
        <v>113</v>
      </c>
      <c r="D564" s="24" t="s">
        <v>222</v>
      </c>
      <c r="E564" s="24"/>
      <c r="F564" s="80" t="e">
        <f>F565+#REF!</f>
        <v>#REF!</v>
      </c>
      <c r="G564" s="24"/>
      <c r="H564" s="116">
        <f>H565</f>
        <v>3500000</v>
      </c>
      <c r="N564" s="116">
        <f>N565</f>
        <v>3500000</v>
      </c>
      <c r="O564" s="116"/>
      <c r="P564" s="116">
        <f>P565</f>
        <v>3500000</v>
      </c>
      <c r="Q564" s="116">
        <f>Q565</f>
        <v>3500000</v>
      </c>
      <c r="R564" s="102"/>
      <c r="S564" s="116">
        <f>S565</f>
        <v>3500000</v>
      </c>
    </row>
    <row r="565" spans="1:19" ht="25.5" customHeight="1">
      <c r="A565" s="65" t="s">
        <v>462</v>
      </c>
      <c r="B565" s="24" t="s">
        <v>110</v>
      </c>
      <c r="C565" s="24" t="s">
        <v>113</v>
      </c>
      <c r="D565" s="24" t="s">
        <v>463</v>
      </c>
      <c r="E565" s="24"/>
      <c r="F565" s="80">
        <v>0</v>
      </c>
      <c r="G565" s="24"/>
      <c r="H565" s="116">
        <f>H566+H567+H568+H569</f>
        <v>3500000</v>
      </c>
      <c r="N565" s="116">
        <f>N566+N567+N568+N569</f>
        <v>3500000</v>
      </c>
      <c r="O565" s="116"/>
      <c r="P565" s="116">
        <f>P566+P567+P568+P569</f>
        <v>3500000</v>
      </c>
      <c r="Q565" s="116">
        <f>Q566+Q567+Q568+Q569</f>
        <v>3500000</v>
      </c>
      <c r="R565" s="102"/>
      <c r="S565" s="116">
        <f>S566+S567+S568+S569</f>
        <v>3500000</v>
      </c>
    </row>
    <row r="566" spans="1:19" ht="21" customHeight="1">
      <c r="A566" s="41" t="s">
        <v>129</v>
      </c>
      <c r="B566" s="24" t="s">
        <v>110</v>
      </c>
      <c r="C566" s="24" t="s">
        <v>113</v>
      </c>
      <c r="D566" s="24" t="s">
        <v>463</v>
      </c>
      <c r="E566" s="24" t="s">
        <v>133</v>
      </c>
      <c r="F566" s="80"/>
      <c r="G566" s="24"/>
      <c r="H566" s="116">
        <v>2929865</v>
      </c>
      <c r="N566" s="116">
        <v>2929865</v>
      </c>
      <c r="O566" s="116"/>
      <c r="P566" s="116">
        <f>N566+O566</f>
        <v>2929865</v>
      </c>
      <c r="Q566" s="116">
        <v>2929865</v>
      </c>
      <c r="R566" s="102"/>
      <c r="S566" s="116">
        <f>Q566+R566</f>
        <v>2929865</v>
      </c>
    </row>
    <row r="567" spans="1:19" ht="32.25" customHeight="1">
      <c r="A567" s="41" t="s">
        <v>130</v>
      </c>
      <c r="B567" s="24" t="s">
        <v>110</v>
      </c>
      <c r="C567" s="24" t="s">
        <v>113</v>
      </c>
      <c r="D567" s="24" t="s">
        <v>463</v>
      </c>
      <c r="E567" s="24" t="s">
        <v>134</v>
      </c>
      <c r="F567" s="80"/>
      <c r="G567" s="24"/>
      <c r="H567" s="116">
        <v>24000</v>
      </c>
      <c r="N567" s="116">
        <v>24000</v>
      </c>
      <c r="O567" s="116"/>
      <c r="P567" s="116">
        <f>N567+O567</f>
        <v>24000</v>
      </c>
      <c r="Q567" s="116">
        <v>24000</v>
      </c>
      <c r="R567" s="102"/>
      <c r="S567" s="116">
        <f>Q567+R567</f>
        <v>24000</v>
      </c>
    </row>
    <row r="568" spans="1:19" ht="36" customHeight="1">
      <c r="A568" s="41" t="s">
        <v>131</v>
      </c>
      <c r="B568" s="24" t="s">
        <v>110</v>
      </c>
      <c r="C568" s="24" t="s">
        <v>113</v>
      </c>
      <c r="D568" s="24" t="s">
        <v>463</v>
      </c>
      <c r="E568" s="24" t="s">
        <v>135</v>
      </c>
      <c r="F568" s="80"/>
      <c r="G568" s="24"/>
      <c r="H568" s="116">
        <v>198353</v>
      </c>
      <c r="N568" s="116">
        <v>198353</v>
      </c>
      <c r="O568" s="116"/>
      <c r="P568" s="116">
        <f>N568+O568</f>
        <v>198353</v>
      </c>
      <c r="Q568" s="116">
        <v>198353</v>
      </c>
      <c r="R568" s="102"/>
      <c r="S568" s="116">
        <f>Q568+R568</f>
        <v>198353</v>
      </c>
    </row>
    <row r="569" spans="1:19" ht="34.5" customHeight="1">
      <c r="A569" s="41" t="s">
        <v>161</v>
      </c>
      <c r="B569" s="24" t="s">
        <v>110</v>
      </c>
      <c r="C569" s="24" t="s">
        <v>113</v>
      </c>
      <c r="D569" s="24" t="s">
        <v>463</v>
      </c>
      <c r="E569" s="24" t="s">
        <v>136</v>
      </c>
      <c r="F569" s="80"/>
      <c r="G569" s="24"/>
      <c r="H569" s="116">
        <v>347782</v>
      </c>
      <c r="N569" s="116">
        <v>347782</v>
      </c>
      <c r="O569" s="116"/>
      <c r="P569" s="116">
        <f>N569+O569</f>
        <v>347782</v>
      </c>
      <c r="Q569" s="116">
        <v>347782</v>
      </c>
      <c r="R569" s="102"/>
      <c r="S569" s="116">
        <f>Q569+R569</f>
        <v>347782</v>
      </c>
    </row>
    <row r="570" spans="1:19" ht="63">
      <c r="A570" s="56" t="s">
        <v>409</v>
      </c>
      <c r="B570" s="31"/>
      <c r="C570" s="31" t="s">
        <v>113</v>
      </c>
      <c r="D570" s="31" t="s">
        <v>182</v>
      </c>
      <c r="E570" s="31"/>
      <c r="F570" s="39"/>
      <c r="G570" s="97"/>
      <c r="H570" s="115">
        <f>H571</f>
        <v>30578100</v>
      </c>
      <c r="N570" s="115">
        <f>N571</f>
        <v>7851829</v>
      </c>
      <c r="O570" s="115"/>
      <c r="P570" s="115">
        <f>P571</f>
        <v>7851829</v>
      </c>
      <c r="Q570" s="115">
        <f>Q571</f>
        <v>9827761</v>
      </c>
      <c r="R570" s="102"/>
      <c r="S570" s="115">
        <f>S571</f>
        <v>9827761</v>
      </c>
    </row>
    <row r="571" spans="1:19" ht="31.5">
      <c r="A571" s="41" t="s">
        <v>184</v>
      </c>
      <c r="B571" s="23"/>
      <c r="C571" s="24" t="s">
        <v>113</v>
      </c>
      <c r="D571" s="24" t="s">
        <v>410</v>
      </c>
      <c r="E571" s="23"/>
      <c r="F571" s="39"/>
      <c r="G571" s="27"/>
      <c r="H571" s="115">
        <f>H572</f>
        <v>30578100</v>
      </c>
      <c r="N571" s="115">
        <f>N572</f>
        <v>7851829</v>
      </c>
      <c r="O571" s="115"/>
      <c r="P571" s="115">
        <f>P572</f>
        <v>7851829</v>
      </c>
      <c r="Q571" s="115">
        <f>Q572</f>
        <v>9827761</v>
      </c>
      <c r="R571" s="102"/>
      <c r="S571" s="115">
        <f>S572</f>
        <v>9827761</v>
      </c>
    </row>
    <row r="572" spans="1:19" ht="31.5">
      <c r="A572" s="41" t="s">
        <v>411</v>
      </c>
      <c r="B572" s="23"/>
      <c r="C572" s="24" t="s">
        <v>113</v>
      </c>
      <c r="D572" s="24" t="s">
        <v>185</v>
      </c>
      <c r="E572" s="24" t="s">
        <v>150</v>
      </c>
      <c r="F572" s="39"/>
      <c r="G572" s="27"/>
      <c r="H572" s="115">
        <v>30578100</v>
      </c>
      <c r="N572" s="115">
        <v>7851829</v>
      </c>
      <c r="O572" s="115"/>
      <c r="P572" s="116">
        <f>N572+O572</f>
        <v>7851829</v>
      </c>
      <c r="Q572" s="115">
        <v>9827761</v>
      </c>
      <c r="R572" s="102"/>
      <c r="S572" s="116">
        <f>Q572+R572</f>
        <v>9827761</v>
      </c>
    </row>
    <row r="573" spans="1:19" ht="36.75" customHeight="1">
      <c r="A573" s="98" t="s">
        <v>95</v>
      </c>
      <c r="B573" s="90" t="s">
        <v>44</v>
      </c>
      <c r="C573" s="90" t="s">
        <v>44</v>
      </c>
      <c r="D573" s="90"/>
      <c r="E573" s="87"/>
      <c r="F573" s="147" t="e">
        <f>SUM(F574+F590+#REF!)</f>
        <v>#REF!</v>
      </c>
      <c r="G573" s="88"/>
      <c r="H573" s="120">
        <f>H574+H590+H597</f>
        <v>4484000</v>
      </c>
      <c r="N573" s="120">
        <f>N574+N590+N597</f>
        <v>4813200</v>
      </c>
      <c r="O573" s="120"/>
      <c r="P573" s="120">
        <f>P574+P590+P597</f>
        <v>4813200</v>
      </c>
      <c r="Q573" s="120">
        <f>Q574+Q590+Q597</f>
        <v>5053860</v>
      </c>
      <c r="R573" s="102"/>
      <c r="S573" s="120">
        <f>S574+S590+S597</f>
        <v>5053860</v>
      </c>
    </row>
    <row r="574" spans="1:19" ht="47.25">
      <c r="A574" s="86" t="s">
        <v>175</v>
      </c>
      <c r="B574" s="87"/>
      <c r="C574" s="87" t="s">
        <v>45</v>
      </c>
      <c r="D574" s="87"/>
      <c r="E574" s="87"/>
      <c r="F574" s="147" t="e">
        <f>F581+#REF!</f>
        <v>#REF!</v>
      </c>
      <c r="G574" s="88"/>
      <c r="H574" s="120">
        <f>H575+H581</f>
        <v>2928000</v>
      </c>
      <c r="N574" s="120">
        <f>N575+N581</f>
        <v>3257200</v>
      </c>
      <c r="O574" s="120"/>
      <c r="P574" s="120">
        <f>P575+P581</f>
        <v>3257200</v>
      </c>
      <c r="Q574" s="120">
        <f>Q575+Q581</f>
        <v>3497860</v>
      </c>
      <c r="R574" s="102"/>
      <c r="S574" s="120">
        <f>S575+S581</f>
        <v>3497860</v>
      </c>
    </row>
    <row r="575" spans="1:19" ht="67.5" customHeight="1">
      <c r="A575" s="163" t="s">
        <v>433</v>
      </c>
      <c r="B575" s="14"/>
      <c r="C575" s="24" t="s">
        <v>45</v>
      </c>
      <c r="D575" s="24" t="s">
        <v>112</v>
      </c>
      <c r="E575" s="24"/>
      <c r="F575" s="80"/>
      <c r="G575" s="24"/>
      <c r="H575" s="116">
        <f>H576</f>
        <v>800000</v>
      </c>
      <c r="N575" s="116">
        <f>N576</f>
        <v>800000</v>
      </c>
      <c r="O575" s="116"/>
      <c r="P575" s="116">
        <f>P576</f>
        <v>800000</v>
      </c>
      <c r="Q575" s="116">
        <f>Q576</f>
        <v>800000</v>
      </c>
      <c r="R575" s="102"/>
      <c r="S575" s="116">
        <f>S576</f>
        <v>800000</v>
      </c>
    </row>
    <row r="576" spans="1:19" ht="63">
      <c r="A576" s="64" t="s">
        <v>434</v>
      </c>
      <c r="B576" s="14"/>
      <c r="C576" s="24" t="s">
        <v>45</v>
      </c>
      <c r="D576" s="24" t="s">
        <v>436</v>
      </c>
      <c r="E576" s="24"/>
      <c r="F576" s="80"/>
      <c r="G576" s="24"/>
      <c r="H576" s="116">
        <f>H577</f>
        <v>800000</v>
      </c>
      <c r="N576" s="116">
        <f>N577</f>
        <v>800000</v>
      </c>
      <c r="O576" s="116"/>
      <c r="P576" s="116">
        <f>P577</f>
        <v>800000</v>
      </c>
      <c r="Q576" s="116">
        <f>Q577</f>
        <v>800000</v>
      </c>
      <c r="R576" s="102"/>
      <c r="S576" s="116">
        <f>S577</f>
        <v>800000</v>
      </c>
    </row>
    <row r="577" spans="1:19" ht="47.25">
      <c r="A577" s="64" t="s">
        <v>435</v>
      </c>
      <c r="B577" s="14"/>
      <c r="C577" s="24" t="s">
        <v>45</v>
      </c>
      <c r="D577" s="24" t="s">
        <v>437</v>
      </c>
      <c r="E577" s="24"/>
      <c r="F577" s="80"/>
      <c r="G577" s="24"/>
      <c r="H577" s="116">
        <f>H578+H579+H580</f>
        <v>800000</v>
      </c>
      <c r="N577" s="116">
        <f>N578+N579+N580</f>
        <v>800000</v>
      </c>
      <c r="O577" s="116"/>
      <c r="P577" s="116">
        <f>P578+P579+P580</f>
        <v>800000</v>
      </c>
      <c r="Q577" s="116">
        <f>Q578+Q579+Q580</f>
        <v>800000</v>
      </c>
      <c r="R577" s="102"/>
      <c r="S577" s="116">
        <f>S578+S579+S580</f>
        <v>800000</v>
      </c>
    </row>
    <row r="578" spans="1:19" ht="33.75" customHeight="1">
      <c r="A578" s="85" t="s">
        <v>131</v>
      </c>
      <c r="B578" s="14"/>
      <c r="C578" s="40" t="s">
        <v>45</v>
      </c>
      <c r="D578" s="40" t="s">
        <v>437</v>
      </c>
      <c r="E578" s="40" t="s">
        <v>135</v>
      </c>
      <c r="F578" s="80"/>
      <c r="G578" s="24"/>
      <c r="H578" s="116">
        <v>22020</v>
      </c>
      <c r="N578" s="116">
        <v>22020</v>
      </c>
      <c r="O578" s="116"/>
      <c r="P578" s="116">
        <f>N578+O578</f>
        <v>22020</v>
      </c>
      <c r="Q578" s="116">
        <v>22020</v>
      </c>
      <c r="R578" s="102"/>
      <c r="S578" s="116">
        <f>Q578+R578</f>
        <v>22020</v>
      </c>
    </row>
    <row r="579" spans="1:19" ht="36" customHeight="1">
      <c r="A579" s="85" t="s">
        <v>161</v>
      </c>
      <c r="B579" s="14"/>
      <c r="C579" s="40" t="s">
        <v>45</v>
      </c>
      <c r="D579" s="40" t="s">
        <v>437</v>
      </c>
      <c r="E579" s="40" t="s">
        <v>136</v>
      </c>
      <c r="F579" s="80"/>
      <c r="G579" s="24"/>
      <c r="H579" s="116">
        <v>768000</v>
      </c>
      <c r="N579" s="116">
        <v>768000</v>
      </c>
      <c r="O579" s="116"/>
      <c r="P579" s="116">
        <f>N579+O579</f>
        <v>768000</v>
      </c>
      <c r="Q579" s="116">
        <v>768000</v>
      </c>
      <c r="R579" s="102"/>
      <c r="S579" s="116">
        <f>Q579+R579</f>
        <v>768000</v>
      </c>
    </row>
    <row r="580" spans="1:19" ht="15.75">
      <c r="A580" s="85" t="s">
        <v>140</v>
      </c>
      <c r="B580" s="14"/>
      <c r="C580" s="40" t="s">
        <v>45</v>
      </c>
      <c r="D580" s="40" t="s">
        <v>437</v>
      </c>
      <c r="E580" s="40" t="s">
        <v>141</v>
      </c>
      <c r="F580" s="80"/>
      <c r="G580" s="24"/>
      <c r="H580" s="116">
        <v>9980</v>
      </c>
      <c r="N580" s="116">
        <v>9980</v>
      </c>
      <c r="O580" s="116"/>
      <c r="P580" s="116">
        <f>N580+O580</f>
        <v>9980</v>
      </c>
      <c r="Q580" s="116">
        <v>9980</v>
      </c>
      <c r="R580" s="102"/>
      <c r="S580" s="116">
        <f>Q580+R580</f>
        <v>9980</v>
      </c>
    </row>
    <row r="581" spans="1:19" ht="94.5">
      <c r="A581" s="51" t="s">
        <v>219</v>
      </c>
      <c r="B581" s="24">
        <v>901</v>
      </c>
      <c r="C581" s="24" t="s">
        <v>45</v>
      </c>
      <c r="D581" s="24" t="s">
        <v>220</v>
      </c>
      <c r="E581" s="24"/>
      <c r="F581" s="80" t="e">
        <f>#REF!+#REF!</f>
        <v>#REF!</v>
      </c>
      <c r="G581" s="24"/>
      <c r="H581" s="116">
        <f>H582</f>
        <v>2128000</v>
      </c>
      <c r="N581" s="116">
        <f>N582</f>
        <v>2457200</v>
      </c>
      <c r="O581" s="116"/>
      <c r="P581" s="116">
        <f>P582</f>
        <v>2457200</v>
      </c>
      <c r="Q581" s="116">
        <f>Q582</f>
        <v>2697860</v>
      </c>
      <c r="R581" s="102"/>
      <c r="S581" s="116">
        <f>S582</f>
        <v>2697860</v>
      </c>
    </row>
    <row r="582" spans="1:19" ht="47.25">
      <c r="A582" s="52" t="s">
        <v>221</v>
      </c>
      <c r="B582" s="24" t="s">
        <v>110</v>
      </c>
      <c r="C582" s="24" t="s">
        <v>45</v>
      </c>
      <c r="D582" s="24" t="s">
        <v>222</v>
      </c>
      <c r="E582" s="24"/>
      <c r="F582" s="80"/>
      <c r="G582" s="24"/>
      <c r="H582" s="116">
        <f>H583</f>
        <v>2128000</v>
      </c>
      <c r="N582" s="116">
        <f>N583</f>
        <v>2457200</v>
      </c>
      <c r="O582" s="116"/>
      <c r="P582" s="116">
        <f>P583</f>
        <v>2457200</v>
      </c>
      <c r="Q582" s="116">
        <f>Q583</f>
        <v>2697860</v>
      </c>
      <c r="R582" s="102"/>
      <c r="S582" s="116">
        <f>S583</f>
        <v>2697860</v>
      </c>
    </row>
    <row r="583" spans="1:19" ht="24.75" customHeight="1">
      <c r="A583" s="53" t="s">
        <v>223</v>
      </c>
      <c r="B583" s="24" t="s">
        <v>110</v>
      </c>
      <c r="C583" s="24" t="s">
        <v>45</v>
      </c>
      <c r="D583" s="24" t="s">
        <v>224</v>
      </c>
      <c r="E583" s="24"/>
      <c r="F583" s="80"/>
      <c r="G583" s="24"/>
      <c r="H583" s="116">
        <f>H584+H585+H586+H587</f>
        <v>2128000</v>
      </c>
      <c r="N583" s="116">
        <f>N584+N585+N586+N587</f>
        <v>2457200</v>
      </c>
      <c r="O583" s="116"/>
      <c r="P583" s="116">
        <f>P584+P585+P586+P587</f>
        <v>2457200</v>
      </c>
      <c r="Q583" s="116">
        <f>Q584+Q585+Q586+Q587</f>
        <v>2697860</v>
      </c>
      <c r="R583" s="102"/>
      <c r="S583" s="116">
        <f>S584+S585+S586+S587</f>
        <v>2697860</v>
      </c>
    </row>
    <row r="584" spans="1:19" ht="27" customHeight="1">
      <c r="A584" s="41" t="s">
        <v>129</v>
      </c>
      <c r="B584" s="24" t="s">
        <v>110</v>
      </c>
      <c r="C584" s="24" t="s">
        <v>45</v>
      </c>
      <c r="D584" s="24" t="s">
        <v>224</v>
      </c>
      <c r="E584" s="24" t="s">
        <v>133</v>
      </c>
      <c r="F584" s="80"/>
      <c r="G584" s="24"/>
      <c r="H584" s="116">
        <v>1422803</v>
      </c>
      <c r="N584" s="116">
        <v>1622803</v>
      </c>
      <c r="O584" s="116"/>
      <c r="P584" s="116">
        <f aca="true" t="shared" si="62" ref="P584:P589">N584+O584</f>
        <v>1622803</v>
      </c>
      <c r="Q584" s="116">
        <v>1722803</v>
      </c>
      <c r="R584" s="102"/>
      <c r="S584" s="116">
        <f aca="true" t="shared" si="63" ref="S584:S589">Q584+R584</f>
        <v>1722803</v>
      </c>
    </row>
    <row r="585" spans="1:19" ht="39" customHeight="1">
      <c r="A585" s="41" t="s">
        <v>130</v>
      </c>
      <c r="B585" s="24" t="s">
        <v>110</v>
      </c>
      <c r="C585" s="24" t="s">
        <v>45</v>
      </c>
      <c r="D585" s="24" t="s">
        <v>224</v>
      </c>
      <c r="E585" s="24" t="s">
        <v>134</v>
      </c>
      <c r="F585" s="80"/>
      <c r="G585" s="24"/>
      <c r="H585" s="116">
        <v>42194</v>
      </c>
      <c r="N585" s="116">
        <v>42194</v>
      </c>
      <c r="O585" s="116"/>
      <c r="P585" s="116">
        <f t="shared" si="62"/>
        <v>42194</v>
      </c>
      <c r="Q585" s="116">
        <v>42194</v>
      </c>
      <c r="R585" s="102"/>
      <c r="S585" s="116">
        <f t="shared" si="63"/>
        <v>42194</v>
      </c>
    </row>
    <row r="586" spans="1:19" ht="35.25" customHeight="1">
      <c r="A586" s="41" t="s">
        <v>131</v>
      </c>
      <c r="B586" s="24" t="s">
        <v>110</v>
      </c>
      <c r="C586" s="24" t="s">
        <v>45</v>
      </c>
      <c r="D586" s="24" t="s">
        <v>224</v>
      </c>
      <c r="E586" s="24" t="s">
        <v>135</v>
      </c>
      <c r="F586" s="80"/>
      <c r="G586" s="24"/>
      <c r="H586" s="116">
        <v>123003</v>
      </c>
      <c r="N586" s="116">
        <v>123003</v>
      </c>
      <c r="O586" s="116"/>
      <c r="P586" s="116">
        <f t="shared" si="62"/>
        <v>123003</v>
      </c>
      <c r="Q586" s="116">
        <v>123003</v>
      </c>
      <c r="R586" s="102"/>
      <c r="S586" s="116">
        <f t="shared" si="63"/>
        <v>123003</v>
      </c>
    </row>
    <row r="587" spans="1:19" ht="35.25" customHeight="1">
      <c r="A587" s="41" t="s">
        <v>161</v>
      </c>
      <c r="B587" s="24" t="s">
        <v>110</v>
      </c>
      <c r="C587" s="24" t="s">
        <v>45</v>
      </c>
      <c r="D587" s="24" t="s">
        <v>224</v>
      </c>
      <c r="E587" s="24" t="s">
        <v>136</v>
      </c>
      <c r="F587" s="80"/>
      <c r="G587" s="24"/>
      <c r="H587" s="116">
        <v>540000</v>
      </c>
      <c r="N587" s="116">
        <v>669200</v>
      </c>
      <c r="O587" s="116"/>
      <c r="P587" s="116">
        <f t="shared" si="62"/>
        <v>669200</v>
      </c>
      <c r="Q587" s="116">
        <v>809860</v>
      </c>
      <c r="R587" s="102"/>
      <c r="S587" s="116">
        <f t="shared" si="63"/>
        <v>809860</v>
      </c>
    </row>
    <row r="588" spans="1:19" ht="35.25" customHeight="1">
      <c r="A588" s="36" t="s">
        <v>131</v>
      </c>
      <c r="B588" s="87" t="s">
        <v>110</v>
      </c>
      <c r="C588" s="87" t="s">
        <v>45</v>
      </c>
      <c r="D588" s="87" t="s">
        <v>170</v>
      </c>
      <c r="E588" s="87" t="s">
        <v>135</v>
      </c>
      <c r="F588" s="147">
        <v>0</v>
      </c>
      <c r="G588" s="88">
        <v>91000</v>
      </c>
      <c r="H588" s="120">
        <f>F588+G588</f>
        <v>91000</v>
      </c>
      <c r="N588" s="120">
        <f>L588+M588</f>
        <v>0</v>
      </c>
      <c r="O588" s="120"/>
      <c r="P588" s="116">
        <f t="shared" si="62"/>
        <v>0</v>
      </c>
      <c r="Q588" s="120">
        <f>M588+N588</f>
        <v>0</v>
      </c>
      <c r="R588" s="102"/>
      <c r="S588" s="116">
        <f t="shared" si="63"/>
        <v>0</v>
      </c>
    </row>
    <row r="589" spans="1:19" ht="30" customHeight="1">
      <c r="A589" s="36" t="s">
        <v>161</v>
      </c>
      <c r="B589" s="87" t="s">
        <v>110</v>
      </c>
      <c r="C589" s="87" t="s">
        <v>45</v>
      </c>
      <c r="D589" s="87" t="s">
        <v>170</v>
      </c>
      <c r="E589" s="87" t="s">
        <v>136</v>
      </c>
      <c r="F589" s="147">
        <v>0</v>
      </c>
      <c r="G589" s="88">
        <v>258754</v>
      </c>
      <c r="H589" s="120">
        <f>F589+G589</f>
        <v>258754</v>
      </c>
      <c r="N589" s="120">
        <f>L589+M589</f>
        <v>0</v>
      </c>
      <c r="O589" s="120"/>
      <c r="P589" s="116">
        <f t="shared" si="62"/>
        <v>0</v>
      </c>
      <c r="Q589" s="120">
        <f>M589+N589</f>
        <v>0</v>
      </c>
      <c r="R589" s="102"/>
      <c r="S589" s="116">
        <f t="shared" si="63"/>
        <v>0</v>
      </c>
    </row>
    <row r="590" spans="1:19" ht="18" customHeight="1">
      <c r="A590" s="86" t="s">
        <v>96</v>
      </c>
      <c r="B590" s="90"/>
      <c r="C590" s="87" t="s">
        <v>46</v>
      </c>
      <c r="D590" s="87"/>
      <c r="E590" s="87"/>
      <c r="F590" s="147">
        <f>F591+F595</f>
        <v>0</v>
      </c>
      <c r="G590" s="88"/>
      <c r="H590" s="120">
        <f>H591</f>
        <v>1155000</v>
      </c>
      <c r="N590" s="120">
        <f>N591</f>
        <v>1155000</v>
      </c>
      <c r="O590" s="120"/>
      <c r="P590" s="120">
        <f>P591</f>
        <v>1155000</v>
      </c>
      <c r="Q590" s="120">
        <f>Q591</f>
        <v>1155000</v>
      </c>
      <c r="R590" s="102"/>
      <c r="S590" s="120">
        <f>S591</f>
        <v>1155000</v>
      </c>
    </row>
    <row r="591" spans="1:19" ht="50.25" customHeight="1">
      <c r="A591" s="85" t="s">
        <v>433</v>
      </c>
      <c r="B591" s="14"/>
      <c r="C591" s="40" t="s">
        <v>46</v>
      </c>
      <c r="D591" s="40" t="s">
        <v>112</v>
      </c>
      <c r="E591" s="40"/>
      <c r="F591" s="148"/>
      <c r="G591" s="18"/>
      <c r="H591" s="121">
        <f>H592</f>
        <v>1155000</v>
      </c>
      <c r="N591" s="121">
        <f>N592</f>
        <v>1155000</v>
      </c>
      <c r="O591" s="121"/>
      <c r="P591" s="121">
        <f>P592</f>
        <v>1155000</v>
      </c>
      <c r="Q591" s="121">
        <f>Q592</f>
        <v>1155000</v>
      </c>
      <c r="R591" s="102"/>
      <c r="S591" s="121">
        <f>S592</f>
        <v>1155000</v>
      </c>
    </row>
    <row r="592" spans="1:19" ht="48.75" customHeight="1">
      <c r="A592" s="85" t="s">
        <v>438</v>
      </c>
      <c r="B592" s="14"/>
      <c r="C592" s="40" t="s">
        <v>46</v>
      </c>
      <c r="D592" s="40" t="s">
        <v>441</v>
      </c>
      <c r="E592" s="40"/>
      <c r="F592" s="148"/>
      <c r="G592" s="18"/>
      <c r="H592" s="121">
        <f>H593+H595</f>
        <v>1155000</v>
      </c>
      <c r="N592" s="121">
        <f>N593+N595</f>
        <v>1155000</v>
      </c>
      <c r="O592" s="121"/>
      <c r="P592" s="121">
        <f>P593+P595</f>
        <v>1155000</v>
      </c>
      <c r="Q592" s="121">
        <f>Q593+Q595</f>
        <v>1155000</v>
      </c>
      <c r="R592" s="102"/>
      <c r="S592" s="121">
        <f>S593+S595</f>
        <v>1155000</v>
      </c>
    </row>
    <row r="593" spans="1:19" ht="33" customHeight="1">
      <c r="A593" s="85" t="s">
        <v>439</v>
      </c>
      <c r="B593" s="14"/>
      <c r="C593" s="40" t="s">
        <v>46</v>
      </c>
      <c r="D593" s="40" t="s">
        <v>442</v>
      </c>
      <c r="E593" s="40"/>
      <c r="F593" s="148"/>
      <c r="G593" s="89"/>
      <c r="H593" s="121">
        <f>H594</f>
        <v>361000</v>
      </c>
      <c r="N593" s="121">
        <f>N594</f>
        <v>361000</v>
      </c>
      <c r="O593" s="121"/>
      <c r="P593" s="121">
        <f>P594</f>
        <v>361000</v>
      </c>
      <c r="Q593" s="121">
        <f>Q594</f>
        <v>361000</v>
      </c>
      <c r="R593" s="102"/>
      <c r="S593" s="121">
        <f>S594</f>
        <v>361000</v>
      </c>
    </row>
    <row r="594" spans="1:19" ht="31.5">
      <c r="A594" s="85" t="s">
        <v>161</v>
      </c>
      <c r="B594" s="14"/>
      <c r="C594" s="40" t="s">
        <v>46</v>
      </c>
      <c r="D594" s="40" t="s">
        <v>442</v>
      </c>
      <c r="E594" s="40" t="s">
        <v>136</v>
      </c>
      <c r="F594" s="148"/>
      <c r="G594" s="89"/>
      <c r="H594" s="121">
        <v>361000</v>
      </c>
      <c r="N594" s="121">
        <v>361000</v>
      </c>
      <c r="O594" s="121"/>
      <c r="P594" s="116">
        <f>N594+O594</f>
        <v>361000</v>
      </c>
      <c r="Q594" s="121">
        <v>361000</v>
      </c>
      <c r="R594" s="102"/>
      <c r="S594" s="116">
        <f>Q594+R594</f>
        <v>361000</v>
      </c>
    </row>
    <row r="595" spans="1:19" ht="47.25">
      <c r="A595" s="85" t="s">
        <v>440</v>
      </c>
      <c r="B595" s="14"/>
      <c r="C595" s="40" t="s">
        <v>46</v>
      </c>
      <c r="D595" s="40" t="s">
        <v>443</v>
      </c>
      <c r="E595" s="40"/>
      <c r="F595" s="149">
        <f>F596</f>
        <v>0</v>
      </c>
      <c r="G595" s="18"/>
      <c r="H595" s="120">
        <f>H596</f>
        <v>794000</v>
      </c>
      <c r="N595" s="120">
        <f>N596</f>
        <v>794000</v>
      </c>
      <c r="O595" s="120"/>
      <c r="P595" s="120">
        <f>P596</f>
        <v>794000</v>
      </c>
      <c r="Q595" s="120">
        <f>Q596</f>
        <v>794000</v>
      </c>
      <c r="R595" s="102"/>
      <c r="S595" s="120">
        <f>S596</f>
        <v>794000</v>
      </c>
    </row>
    <row r="596" spans="1:19" ht="31.5">
      <c r="A596" s="85" t="s">
        <v>161</v>
      </c>
      <c r="B596" s="14"/>
      <c r="C596" s="40" t="s">
        <v>46</v>
      </c>
      <c r="D596" s="40" t="s">
        <v>443</v>
      </c>
      <c r="E596" s="40" t="s">
        <v>136</v>
      </c>
      <c r="F596" s="149">
        <v>0</v>
      </c>
      <c r="G596" s="18" t="s">
        <v>444</v>
      </c>
      <c r="H596" s="120">
        <v>794000</v>
      </c>
      <c r="N596" s="120">
        <v>794000</v>
      </c>
      <c r="O596" s="120"/>
      <c r="P596" s="116">
        <f>N596+O596</f>
        <v>794000</v>
      </c>
      <c r="Q596" s="120">
        <v>794000</v>
      </c>
      <c r="R596" s="102"/>
      <c r="S596" s="116">
        <f>Q596+R596</f>
        <v>794000</v>
      </c>
    </row>
    <row r="597" spans="1:19" ht="31.5">
      <c r="A597" s="85" t="s">
        <v>445</v>
      </c>
      <c r="B597" s="14"/>
      <c r="C597" s="40" t="s">
        <v>450</v>
      </c>
      <c r="D597" s="40"/>
      <c r="E597" s="40"/>
      <c r="F597" s="150"/>
      <c r="G597" s="18"/>
      <c r="H597" s="120">
        <f>H598+H602</f>
        <v>401000</v>
      </c>
      <c r="N597" s="120">
        <f>N598+N602</f>
        <v>401000</v>
      </c>
      <c r="O597" s="120"/>
      <c r="P597" s="120">
        <f>P598+P602</f>
        <v>401000</v>
      </c>
      <c r="Q597" s="120">
        <f>Q598+Q602</f>
        <v>401000</v>
      </c>
      <c r="R597" s="102"/>
      <c r="S597" s="120">
        <f>S598+S602</f>
        <v>401000</v>
      </c>
    </row>
    <row r="598" spans="1:19" ht="64.5" customHeight="1">
      <c r="A598" s="163" t="s">
        <v>433</v>
      </c>
      <c r="B598" s="14"/>
      <c r="C598" s="40" t="s">
        <v>450</v>
      </c>
      <c r="D598" s="40" t="s">
        <v>112</v>
      </c>
      <c r="E598" s="40"/>
      <c r="F598" s="150"/>
      <c r="G598" s="18"/>
      <c r="H598" s="120">
        <f>H599</f>
        <v>301000</v>
      </c>
      <c r="N598" s="120">
        <f aca="true" t="shared" si="64" ref="N598:S600">N599</f>
        <v>301000</v>
      </c>
      <c r="O598" s="120"/>
      <c r="P598" s="120">
        <f t="shared" si="64"/>
        <v>301000</v>
      </c>
      <c r="Q598" s="120">
        <f t="shared" si="64"/>
        <v>301000</v>
      </c>
      <c r="R598" s="102"/>
      <c r="S598" s="120">
        <f t="shared" si="64"/>
        <v>301000</v>
      </c>
    </row>
    <row r="599" spans="1:19" ht="47.25">
      <c r="A599" s="91" t="s">
        <v>446</v>
      </c>
      <c r="B599" s="14"/>
      <c r="C599" s="40" t="s">
        <v>450</v>
      </c>
      <c r="D599" s="40" t="s">
        <v>451</v>
      </c>
      <c r="E599" s="40"/>
      <c r="F599" s="150"/>
      <c r="G599" s="18"/>
      <c r="H599" s="120">
        <f>H600</f>
        <v>301000</v>
      </c>
      <c r="N599" s="120">
        <f t="shared" si="64"/>
        <v>301000</v>
      </c>
      <c r="O599" s="120"/>
      <c r="P599" s="120">
        <f t="shared" si="64"/>
        <v>301000</v>
      </c>
      <c r="Q599" s="120">
        <f t="shared" si="64"/>
        <v>301000</v>
      </c>
      <c r="R599" s="102"/>
      <c r="S599" s="120">
        <f t="shared" si="64"/>
        <v>301000</v>
      </c>
    </row>
    <row r="600" spans="1:19" ht="47.25">
      <c r="A600" s="91" t="s">
        <v>447</v>
      </c>
      <c r="B600" s="14"/>
      <c r="C600" s="40" t="s">
        <v>450</v>
      </c>
      <c r="D600" s="40" t="s">
        <v>452</v>
      </c>
      <c r="E600" s="40"/>
      <c r="F600" s="150"/>
      <c r="G600" s="18"/>
      <c r="H600" s="120">
        <f>H601</f>
        <v>301000</v>
      </c>
      <c r="N600" s="120">
        <f t="shared" si="64"/>
        <v>301000</v>
      </c>
      <c r="O600" s="120"/>
      <c r="P600" s="120">
        <f t="shared" si="64"/>
        <v>301000</v>
      </c>
      <c r="Q600" s="120">
        <f t="shared" si="64"/>
        <v>301000</v>
      </c>
      <c r="R600" s="102"/>
      <c r="S600" s="120">
        <f t="shared" si="64"/>
        <v>301000</v>
      </c>
    </row>
    <row r="601" spans="1:19" ht="31.5">
      <c r="A601" s="85" t="s">
        <v>161</v>
      </c>
      <c r="B601" s="14"/>
      <c r="C601" s="40" t="s">
        <v>450</v>
      </c>
      <c r="D601" s="40" t="s">
        <v>452</v>
      </c>
      <c r="E601" s="40" t="s">
        <v>136</v>
      </c>
      <c r="F601" s="150"/>
      <c r="G601" s="18"/>
      <c r="H601" s="120">
        <v>301000</v>
      </c>
      <c r="N601" s="120">
        <v>301000</v>
      </c>
      <c r="O601" s="120"/>
      <c r="P601" s="116">
        <f>N601+O601</f>
        <v>301000</v>
      </c>
      <c r="Q601" s="120">
        <v>301000</v>
      </c>
      <c r="R601" s="102"/>
      <c r="S601" s="116">
        <f>Q601+R601</f>
        <v>301000</v>
      </c>
    </row>
    <row r="602" spans="1:19" ht="78.75">
      <c r="A602" s="85" t="s">
        <v>448</v>
      </c>
      <c r="B602" s="14"/>
      <c r="C602" s="40" t="s">
        <v>450</v>
      </c>
      <c r="D602" s="40" t="s">
        <v>453</v>
      </c>
      <c r="E602" s="40"/>
      <c r="F602" s="150"/>
      <c r="G602" s="18"/>
      <c r="H602" s="120">
        <f>H603</f>
        <v>100000</v>
      </c>
      <c r="N602" s="120">
        <f>N603</f>
        <v>100000</v>
      </c>
      <c r="O602" s="120"/>
      <c r="P602" s="120">
        <f>P603</f>
        <v>100000</v>
      </c>
      <c r="Q602" s="120">
        <f>Q603</f>
        <v>100000</v>
      </c>
      <c r="R602" s="102"/>
      <c r="S602" s="120">
        <f>S603</f>
        <v>100000</v>
      </c>
    </row>
    <row r="603" spans="1:19" ht="78.75">
      <c r="A603" s="85" t="s">
        <v>449</v>
      </c>
      <c r="B603" s="14"/>
      <c r="C603" s="40" t="s">
        <v>450</v>
      </c>
      <c r="D603" s="40" t="s">
        <v>454</v>
      </c>
      <c r="E603" s="40"/>
      <c r="F603" s="150"/>
      <c r="G603" s="18"/>
      <c r="H603" s="120">
        <f>H604</f>
        <v>100000</v>
      </c>
      <c r="N603" s="120">
        <f>N604</f>
        <v>100000</v>
      </c>
      <c r="O603" s="120"/>
      <c r="P603" s="120">
        <f>P604</f>
        <v>100000</v>
      </c>
      <c r="Q603" s="120">
        <f>Q604</f>
        <v>100000</v>
      </c>
      <c r="R603" s="102"/>
      <c r="S603" s="120">
        <f>S604</f>
        <v>100000</v>
      </c>
    </row>
    <row r="604" spans="1:19" ht="31.5">
      <c r="A604" s="85" t="s">
        <v>161</v>
      </c>
      <c r="B604" s="14"/>
      <c r="C604" s="40" t="s">
        <v>450</v>
      </c>
      <c r="D604" s="40" t="s">
        <v>454</v>
      </c>
      <c r="E604" s="40" t="s">
        <v>136</v>
      </c>
      <c r="F604" s="150"/>
      <c r="G604" s="18"/>
      <c r="H604" s="120">
        <v>100000</v>
      </c>
      <c r="N604" s="120">
        <v>100000</v>
      </c>
      <c r="O604" s="120"/>
      <c r="P604" s="116">
        <f>N604+O604</f>
        <v>100000</v>
      </c>
      <c r="Q604" s="120">
        <v>100000</v>
      </c>
      <c r="R604" s="102"/>
      <c r="S604" s="116">
        <f>Q604+R604</f>
        <v>100000</v>
      </c>
    </row>
    <row r="605" spans="1:19" ht="24" customHeight="1">
      <c r="A605" s="98" t="s">
        <v>47</v>
      </c>
      <c r="B605" s="87" t="s">
        <v>48</v>
      </c>
      <c r="C605" s="90" t="s">
        <v>48</v>
      </c>
      <c r="D605" s="87"/>
      <c r="E605" s="87"/>
      <c r="F605" s="147" t="e">
        <f>SUM(F606+F611+F619+F638+F633+F624)</f>
        <v>#REF!</v>
      </c>
      <c r="G605" s="88"/>
      <c r="H605" s="120">
        <f>SUM(H606+H611+H619+H638+H633+H624)</f>
        <v>11576000</v>
      </c>
      <c r="N605" s="120">
        <f>SUM(N606+N611+N619+N638+N633+N624)</f>
        <v>13704600</v>
      </c>
      <c r="O605" s="120"/>
      <c r="P605" s="120">
        <f>SUM(P606+P611+P619+P638+P633+P624)</f>
        <v>13704600</v>
      </c>
      <c r="Q605" s="120">
        <f>SUM(Q606+Q611+Q619+Q638+Q633+Q624)</f>
        <v>14389830</v>
      </c>
      <c r="R605" s="102"/>
      <c r="S605" s="120">
        <f>SUM(S606+S611+S619+S638+S633+S624)</f>
        <v>14389830</v>
      </c>
    </row>
    <row r="606" spans="1:19" ht="15.75">
      <c r="A606" s="86" t="s">
        <v>49</v>
      </c>
      <c r="B606" s="87"/>
      <c r="C606" s="87" t="s">
        <v>50</v>
      </c>
      <c r="D606" s="87"/>
      <c r="E606" s="87"/>
      <c r="F606" s="147">
        <f>F607</f>
        <v>0</v>
      </c>
      <c r="G606" s="88"/>
      <c r="H606" s="120">
        <f>H607</f>
        <v>85000</v>
      </c>
      <c r="N606" s="120">
        <f aca="true" t="shared" si="65" ref="N606:S609">N607</f>
        <v>85000</v>
      </c>
      <c r="O606" s="120"/>
      <c r="P606" s="120">
        <f t="shared" si="65"/>
        <v>85000</v>
      </c>
      <c r="Q606" s="120">
        <f t="shared" si="65"/>
        <v>85000</v>
      </c>
      <c r="R606" s="102"/>
      <c r="S606" s="120">
        <f t="shared" si="65"/>
        <v>85000</v>
      </c>
    </row>
    <row r="607" spans="1:19" ht="132" customHeight="1">
      <c r="A607" s="163" t="s">
        <v>455</v>
      </c>
      <c r="B607" s="14"/>
      <c r="C607" s="40" t="s">
        <v>50</v>
      </c>
      <c r="D607" s="40" t="s">
        <v>374</v>
      </c>
      <c r="E607" s="40"/>
      <c r="F607" s="151">
        <f>F610</f>
        <v>0</v>
      </c>
      <c r="G607" s="40"/>
      <c r="H607" s="121">
        <f>H608</f>
        <v>85000</v>
      </c>
      <c r="N607" s="121">
        <f t="shared" si="65"/>
        <v>85000</v>
      </c>
      <c r="O607" s="121"/>
      <c r="P607" s="121">
        <f t="shared" si="65"/>
        <v>85000</v>
      </c>
      <c r="Q607" s="121">
        <f t="shared" si="65"/>
        <v>85000</v>
      </c>
      <c r="R607" s="102"/>
      <c r="S607" s="121">
        <f t="shared" si="65"/>
        <v>85000</v>
      </c>
    </row>
    <row r="608" spans="1:19" ht="78.75">
      <c r="A608" s="36" t="s">
        <v>527</v>
      </c>
      <c r="B608" s="14"/>
      <c r="C608" s="40" t="s">
        <v>50</v>
      </c>
      <c r="D608" s="40" t="s">
        <v>456</v>
      </c>
      <c r="E608" s="40"/>
      <c r="F608" s="151"/>
      <c r="G608" s="40"/>
      <c r="H608" s="121">
        <f>H609</f>
        <v>85000</v>
      </c>
      <c r="N608" s="121">
        <f t="shared" si="65"/>
        <v>85000</v>
      </c>
      <c r="O608" s="121"/>
      <c r="P608" s="121">
        <f t="shared" si="65"/>
        <v>85000</v>
      </c>
      <c r="Q608" s="121">
        <f t="shared" si="65"/>
        <v>85000</v>
      </c>
      <c r="R608" s="102"/>
      <c r="S608" s="121">
        <f t="shared" si="65"/>
        <v>85000</v>
      </c>
    </row>
    <row r="609" spans="1:19" ht="31.5">
      <c r="A609" s="85" t="s">
        <v>528</v>
      </c>
      <c r="B609" s="14"/>
      <c r="C609" s="40" t="s">
        <v>50</v>
      </c>
      <c r="D609" s="40" t="s">
        <v>457</v>
      </c>
      <c r="E609" s="40"/>
      <c r="F609" s="151"/>
      <c r="G609" s="40"/>
      <c r="H609" s="121">
        <f>H610</f>
        <v>85000</v>
      </c>
      <c r="N609" s="121">
        <f t="shared" si="65"/>
        <v>85000</v>
      </c>
      <c r="O609" s="121"/>
      <c r="P609" s="121">
        <f t="shared" si="65"/>
        <v>85000</v>
      </c>
      <c r="Q609" s="121">
        <f t="shared" si="65"/>
        <v>85000</v>
      </c>
      <c r="R609" s="102"/>
      <c r="S609" s="121">
        <f t="shared" si="65"/>
        <v>85000</v>
      </c>
    </row>
    <row r="610" spans="1:19" ht="15.75">
      <c r="A610" s="85" t="s">
        <v>140</v>
      </c>
      <c r="B610" s="14"/>
      <c r="C610" s="40" t="s">
        <v>50</v>
      </c>
      <c r="D610" s="40" t="s">
        <v>457</v>
      </c>
      <c r="E610" s="40" t="s">
        <v>141</v>
      </c>
      <c r="F610" s="151">
        <v>0</v>
      </c>
      <c r="G610" s="40" t="s">
        <v>458</v>
      </c>
      <c r="H610" s="121">
        <f>F610+G610</f>
        <v>85000</v>
      </c>
      <c r="N610" s="121">
        <v>85000</v>
      </c>
      <c r="O610" s="121"/>
      <c r="P610" s="116">
        <f>N610+O610</f>
        <v>85000</v>
      </c>
      <c r="Q610" s="121">
        <f>M610+N610</f>
        <v>85000</v>
      </c>
      <c r="R610" s="102"/>
      <c r="S610" s="116">
        <f>Q610+R610</f>
        <v>85000</v>
      </c>
    </row>
    <row r="611" spans="1:19" ht="15.75">
      <c r="A611" s="86" t="s">
        <v>168</v>
      </c>
      <c r="B611" s="87"/>
      <c r="C611" s="87" t="s">
        <v>51</v>
      </c>
      <c r="D611" s="87"/>
      <c r="E611" s="87"/>
      <c r="F611" s="147" t="e">
        <f>#REF!+F617</f>
        <v>#REF!</v>
      </c>
      <c r="G611" s="88"/>
      <c r="H611" s="120">
        <f>H612</f>
        <v>1994000</v>
      </c>
      <c r="N611" s="120">
        <f>N612</f>
        <v>1994000</v>
      </c>
      <c r="O611" s="120"/>
      <c r="P611" s="120">
        <f>P612</f>
        <v>1994000</v>
      </c>
      <c r="Q611" s="120">
        <f>Q612</f>
        <v>1994000</v>
      </c>
      <c r="R611" s="102"/>
      <c r="S611" s="120">
        <f>S612</f>
        <v>1994000</v>
      </c>
    </row>
    <row r="612" spans="1:19" ht="66.75" customHeight="1">
      <c r="A612" s="163" t="s">
        <v>433</v>
      </c>
      <c r="B612" s="14"/>
      <c r="C612" s="40" t="s">
        <v>51</v>
      </c>
      <c r="D612" s="40" t="s">
        <v>112</v>
      </c>
      <c r="E612" s="40"/>
      <c r="F612" s="151"/>
      <c r="G612" s="40"/>
      <c r="H612" s="121">
        <f>H613+H616</f>
        <v>1994000</v>
      </c>
      <c r="N612" s="121">
        <f>N613+N616</f>
        <v>1994000</v>
      </c>
      <c r="O612" s="121"/>
      <c r="P612" s="121">
        <f>P613+P616</f>
        <v>1994000</v>
      </c>
      <c r="Q612" s="121">
        <f>Q613+Q616</f>
        <v>1994000</v>
      </c>
      <c r="R612" s="102"/>
      <c r="S612" s="121">
        <f>S613+S616</f>
        <v>1994000</v>
      </c>
    </row>
    <row r="613" spans="1:19" ht="31.5">
      <c r="A613" s="85" t="s">
        <v>459</v>
      </c>
      <c r="B613" s="14"/>
      <c r="C613" s="40" t="s">
        <v>51</v>
      </c>
      <c r="D613" s="40" t="s">
        <v>233</v>
      </c>
      <c r="E613" s="40"/>
      <c r="F613" s="151"/>
      <c r="G613" s="40"/>
      <c r="H613" s="121">
        <f>H614</f>
        <v>204500</v>
      </c>
      <c r="N613" s="121">
        <f>N614</f>
        <v>204500</v>
      </c>
      <c r="O613" s="121"/>
      <c r="P613" s="121">
        <f>P614</f>
        <v>204500</v>
      </c>
      <c r="Q613" s="121">
        <f>Q614</f>
        <v>204500</v>
      </c>
      <c r="R613" s="102"/>
      <c r="S613" s="121">
        <f>S614</f>
        <v>204500</v>
      </c>
    </row>
    <row r="614" spans="1:19" ht="31.5">
      <c r="A614" s="85" t="s">
        <v>234</v>
      </c>
      <c r="B614" s="14"/>
      <c r="C614" s="40" t="s">
        <v>51</v>
      </c>
      <c r="D614" s="40" t="s">
        <v>235</v>
      </c>
      <c r="E614" s="40"/>
      <c r="F614" s="151"/>
      <c r="G614" s="40"/>
      <c r="H614" s="121">
        <f>H615</f>
        <v>204500</v>
      </c>
      <c r="N614" s="121">
        <f>N615</f>
        <v>204500</v>
      </c>
      <c r="O614" s="121"/>
      <c r="P614" s="121">
        <f>P615</f>
        <v>204500</v>
      </c>
      <c r="Q614" s="121">
        <f>Q615</f>
        <v>204500</v>
      </c>
      <c r="R614" s="102"/>
      <c r="S614" s="121">
        <f>S615</f>
        <v>204500</v>
      </c>
    </row>
    <row r="615" spans="1:19" ht="31.5">
      <c r="A615" s="85" t="s">
        <v>163</v>
      </c>
      <c r="B615" s="14"/>
      <c r="C615" s="40" t="s">
        <v>51</v>
      </c>
      <c r="D615" s="40" t="s">
        <v>235</v>
      </c>
      <c r="E615" s="40" t="s">
        <v>136</v>
      </c>
      <c r="F615" s="151"/>
      <c r="G615" s="40"/>
      <c r="H615" s="121">
        <v>204500</v>
      </c>
      <c r="N615" s="121">
        <v>204500</v>
      </c>
      <c r="O615" s="121"/>
      <c r="P615" s="116">
        <f>N615+O615</f>
        <v>204500</v>
      </c>
      <c r="Q615" s="121">
        <v>204500</v>
      </c>
      <c r="R615" s="102"/>
      <c r="S615" s="116">
        <f>Q615+R615</f>
        <v>204500</v>
      </c>
    </row>
    <row r="616" spans="1:19" ht="47.25">
      <c r="A616" s="91" t="s">
        <v>460</v>
      </c>
      <c r="B616" s="14"/>
      <c r="C616" s="40" t="s">
        <v>51</v>
      </c>
      <c r="D616" s="40" t="s">
        <v>0</v>
      </c>
      <c r="E616" s="40"/>
      <c r="F616" s="151" t="e">
        <f>#REF!+F618</f>
        <v>#REF!</v>
      </c>
      <c r="G616" s="40"/>
      <c r="H616" s="121">
        <f>H617</f>
        <v>1789500</v>
      </c>
      <c r="N616" s="121">
        <f>N617</f>
        <v>1789500</v>
      </c>
      <c r="O616" s="121"/>
      <c r="P616" s="121">
        <f>P617</f>
        <v>1789500</v>
      </c>
      <c r="Q616" s="121">
        <f>Q617</f>
        <v>1789500</v>
      </c>
      <c r="R616" s="102"/>
      <c r="S616" s="121">
        <f>S617</f>
        <v>1789500</v>
      </c>
    </row>
    <row r="617" spans="1:19" ht="24" customHeight="1">
      <c r="A617" s="91" t="s">
        <v>461</v>
      </c>
      <c r="B617" s="14"/>
      <c r="C617" s="40" t="s">
        <v>51</v>
      </c>
      <c r="D617" s="40" t="s">
        <v>1</v>
      </c>
      <c r="E617" s="40"/>
      <c r="F617" s="151"/>
      <c r="G617" s="40"/>
      <c r="H617" s="121">
        <f>H618</f>
        <v>1789500</v>
      </c>
      <c r="N617" s="121">
        <f>N618</f>
        <v>1789500</v>
      </c>
      <c r="O617" s="121"/>
      <c r="P617" s="121">
        <f>P618</f>
        <v>1789500</v>
      </c>
      <c r="Q617" s="121">
        <f>Q618</f>
        <v>1789500</v>
      </c>
      <c r="R617" s="102"/>
      <c r="S617" s="121">
        <f>S618</f>
        <v>1789500</v>
      </c>
    </row>
    <row r="618" spans="1:19" ht="31.5">
      <c r="A618" s="85" t="s">
        <v>163</v>
      </c>
      <c r="B618" s="14"/>
      <c r="C618" s="40" t="s">
        <v>51</v>
      </c>
      <c r="D618" s="40" t="s">
        <v>1</v>
      </c>
      <c r="E618" s="40" t="s">
        <v>136</v>
      </c>
      <c r="F618" s="151">
        <v>0</v>
      </c>
      <c r="G618" s="93">
        <v>1899000</v>
      </c>
      <c r="H618" s="121">
        <v>1789500</v>
      </c>
      <c r="N618" s="121">
        <v>1789500</v>
      </c>
      <c r="O618" s="121"/>
      <c r="P618" s="116">
        <f>N618+O618</f>
        <v>1789500</v>
      </c>
      <c r="Q618" s="121">
        <v>1789500</v>
      </c>
      <c r="R618" s="102"/>
      <c r="S618" s="116">
        <f>Q618+R618</f>
        <v>1789500</v>
      </c>
    </row>
    <row r="619" spans="1:19" ht="15.75">
      <c r="A619" s="86" t="s">
        <v>97</v>
      </c>
      <c r="B619" s="87"/>
      <c r="C619" s="87" t="s">
        <v>98</v>
      </c>
      <c r="D619" s="87"/>
      <c r="E619" s="87"/>
      <c r="F619" s="147">
        <f>F620</f>
        <v>0</v>
      </c>
      <c r="G619" s="88"/>
      <c r="H619" s="120">
        <f>H620</f>
        <v>420000</v>
      </c>
      <c r="N619" s="120">
        <f aca="true" t="shared" si="66" ref="N619:S622">N620</f>
        <v>420000</v>
      </c>
      <c r="O619" s="120"/>
      <c r="P619" s="120">
        <f t="shared" si="66"/>
        <v>420000</v>
      </c>
      <c r="Q619" s="120">
        <f t="shared" si="66"/>
        <v>420000</v>
      </c>
      <c r="R619" s="102"/>
      <c r="S619" s="120">
        <f t="shared" si="66"/>
        <v>420000</v>
      </c>
    </row>
    <row r="620" spans="1:19" ht="98.25" customHeight="1">
      <c r="A620" s="164" t="s">
        <v>219</v>
      </c>
      <c r="B620" s="14"/>
      <c r="C620" s="40" t="s">
        <v>98</v>
      </c>
      <c r="D620" s="40" t="s">
        <v>39</v>
      </c>
      <c r="E620" s="40"/>
      <c r="F620" s="151"/>
      <c r="G620" s="40"/>
      <c r="H620" s="121">
        <f>H621</f>
        <v>420000</v>
      </c>
      <c r="N620" s="121">
        <f t="shared" si="66"/>
        <v>420000</v>
      </c>
      <c r="O620" s="121"/>
      <c r="P620" s="121">
        <f t="shared" si="66"/>
        <v>420000</v>
      </c>
      <c r="Q620" s="121">
        <f t="shared" si="66"/>
        <v>420000</v>
      </c>
      <c r="R620" s="102"/>
      <c r="S620" s="121">
        <f t="shared" si="66"/>
        <v>420000</v>
      </c>
    </row>
    <row r="621" spans="1:19" ht="47.25">
      <c r="A621" s="67" t="s">
        <v>2</v>
      </c>
      <c r="B621" s="14"/>
      <c r="C621" s="40" t="s">
        <v>98</v>
      </c>
      <c r="D621" s="40" t="s">
        <v>4</v>
      </c>
      <c r="E621" s="40"/>
      <c r="F621" s="151"/>
      <c r="G621" s="40"/>
      <c r="H621" s="121">
        <f>H622</f>
        <v>420000</v>
      </c>
      <c r="N621" s="121">
        <f t="shared" si="66"/>
        <v>420000</v>
      </c>
      <c r="O621" s="121"/>
      <c r="P621" s="121">
        <f t="shared" si="66"/>
        <v>420000</v>
      </c>
      <c r="Q621" s="121">
        <f t="shared" si="66"/>
        <v>420000</v>
      </c>
      <c r="R621" s="102"/>
      <c r="S621" s="121">
        <f t="shared" si="66"/>
        <v>420000</v>
      </c>
    </row>
    <row r="622" spans="1:19" ht="31.5">
      <c r="A622" s="67" t="s">
        <v>3</v>
      </c>
      <c r="B622" s="14"/>
      <c r="C622" s="40" t="s">
        <v>98</v>
      </c>
      <c r="D622" s="40" t="s">
        <v>5</v>
      </c>
      <c r="E622" s="40"/>
      <c r="F622" s="151" t="e">
        <f>#REF!</f>
        <v>#REF!</v>
      </c>
      <c r="G622" s="40"/>
      <c r="H622" s="121">
        <f>H623</f>
        <v>420000</v>
      </c>
      <c r="N622" s="121">
        <f t="shared" si="66"/>
        <v>420000</v>
      </c>
      <c r="O622" s="121"/>
      <c r="P622" s="121">
        <f t="shared" si="66"/>
        <v>420000</v>
      </c>
      <c r="Q622" s="121">
        <f t="shared" si="66"/>
        <v>420000</v>
      </c>
      <c r="R622" s="102"/>
      <c r="S622" s="121">
        <f t="shared" si="66"/>
        <v>420000</v>
      </c>
    </row>
    <row r="623" spans="1:19" ht="63">
      <c r="A623" s="85" t="s">
        <v>277</v>
      </c>
      <c r="B623" s="14"/>
      <c r="C623" s="40" t="s">
        <v>98</v>
      </c>
      <c r="D623" s="40" t="s">
        <v>5</v>
      </c>
      <c r="E623" s="40" t="s">
        <v>151</v>
      </c>
      <c r="F623" s="151">
        <v>0</v>
      </c>
      <c r="G623" s="40" t="s">
        <v>6</v>
      </c>
      <c r="H623" s="121">
        <v>420000</v>
      </c>
      <c r="N623" s="121">
        <v>420000</v>
      </c>
      <c r="O623" s="121"/>
      <c r="P623" s="116">
        <f>N623+O623</f>
        <v>420000</v>
      </c>
      <c r="Q623" s="121">
        <v>420000</v>
      </c>
      <c r="R623" s="102"/>
      <c r="S623" s="116">
        <f>Q623+R623</f>
        <v>420000</v>
      </c>
    </row>
    <row r="624" spans="1:19" ht="15.75">
      <c r="A624" s="86" t="s">
        <v>165</v>
      </c>
      <c r="B624" s="87"/>
      <c r="C624" s="87" t="s">
        <v>166</v>
      </c>
      <c r="D624" s="87"/>
      <c r="E624" s="87"/>
      <c r="F624" s="147" t="e">
        <f>F625+#REF!</f>
        <v>#REF!</v>
      </c>
      <c r="G624" s="88"/>
      <c r="H624" s="120">
        <f>H625</f>
        <v>8303000</v>
      </c>
      <c r="N624" s="120">
        <f>N625</f>
        <v>8303000</v>
      </c>
      <c r="O624" s="120"/>
      <c r="P624" s="120">
        <f>P625</f>
        <v>8303000</v>
      </c>
      <c r="Q624" s="120">
        <f>Q625</f>
        <v>8303000</v>
      </c>
      <c r="R624" s="102"/>
      <c r="S624" s="120">
        <f>S625</f>
        <v>8303000</v>
      </c>
    </row>
    <row r="625" spans="1:19" ht="94.5">
      <c r="A625" s="164" t="s">
        <v>219</v>
      </c>
      <c r="B625" s="14"/>
      <c r="C625" s="40" t="s">
        <v>166</v>
      </c>
      <c r="D625" s="40" t="s">
        <v>39</v>
      </c>
      <c r="E625" s="40"/>
      <c r="F625" s="151"/>
      <c r="G625" s="40"/>
      <c r="H625" s="121">
        <f>H626</f>
        <v>8303000</v>
      </c>
      <c r="N625" s="121">
        <f>N626</f>
        <v>8303000</v>
      </c>
      <c r="O625" s="121"/>
      <c r="P625" s="121">
        <f>P626</f>
        <v>8303000</v>
      </c>
      <c r="Q625" s="121">
        <f>Q626</f>
        <v>8303000</v>
      </c>
      <c r="R625" s="102"/>
      <c r="S625" s="121">
        <f>S626</f>
        <v>8303000</v>
      </c>
    </row>
    <row r="626" spans="1:19" ht="63">
      <c r="A626" s="67" t="s">
        <v>14</v>
      </c>
      <c r="B626" s="14"/>
      <c r="C626" s="40" t="s">
        <v>166</v>
      </c>
      <c r="D626" s="40" t="s">
        <v>10</v>
      </c>
      <c r="E626" s="40"/>
      <c r="F626" s="151" t="e">
        <f>#REF!</f>
        <v>#REF!</v>
      </c>
      <c r="G626" s="40"/>
      <c r="H626" s="121">
        <f>H627+H629+H631</f>
        <v>8303000</v>
      </c>
      <c r="N626" s="121">
        <f>N627+N629+N631</f>
        <v>8303000</v>
      </c>
      <c r="O626" s="121"/>
      <c r="P626" s="121">
        <f>P627+P629+P631</f>
        <v>8303000</v>
      </c>
      <c r="Q626" s="121">
        <f>Q627+Q629+Q631</f>
        <v>8303000</v>
      </c>
      <c r="R626" s="102"/>
      <c r="S626" s="121">
        <f>S627+S629+S631</f>
        <v>8303000</v>
      </c>
    </row>
    <row r="627" spans="1:19" ht="51.75" customHeight="1">
      <c r="A627" s="67" t="s">
        <v>7</v>
      </c>
      <c r="B627" s="14"/>
      <c r="C627" s="40" t="s">
        <v>166</v>
      </c>
      <c r="D627" s="40" t="s">
        <v>11</v>
      </c>
      <c r="E627" s="40"/>
      <c r="F627" s="151"/>
      <c r="G627" s="40"/>
      <c r="H627" s="121">
        <f>H628</f>
        <v>3000000</v>
      </c>
      <c r="N627" s="121">
        <f>N628</f>
        <v>3000000</v>
      </c>
      <c r="O627" s="121"/>
      <c r="P627" s="121">
        <f>P628</f>
        <v>3000000</v>
      </c>
      <c r="Q627" s="121">
        <f>Q628</f>
        <v>3000000</v>
      </c>
      <c r="R627" s="102"/>
      <c r="S627" s="121">
        <f>S628</f>
        <v>3000000</v>
      </c>
    </row>
    <row r="628" spans="1:19" ht="31.5">
      <c r="A628" s="94" t="s">
        <v>161</v>
      </c>
      <c r="B628" s="14"/>
      <c r="C628" s="95" t="s">
        <v>166</v>
      </c>
      <c r="D628" s="95" t="s">
        <v>11</v>
      </c>
      <c r="E628" s="95" t="s">
        <v>136</v>
      </c>
      <c r="F628" s="151"/>
      <c r="G628" s="40"/>
      <c r="H628" s="121">
        <v>3000000</v>
      </c>
      <c r="N628" s="121">
        <v>3000000</v>
      </c>
      <c r="O628" s="121"/>
      <c r="P628" s="116">
        <f>N628+O628</f>
        <v>3000000</v>
      </c>
      <c r="Q628" s="121">
        <v>3000000</v>
      </c>
      <c r="R628" s="102"/>
      <c r="S628" s="116">
        <f>Q628+R628</f>
        <v>3000000</v>
      </c>
    </row>
    <row r="629" spans="1:19" ht="53.25" customHeight="1">
      <c r="A629" s="67" t="s">
        <v>8</v>
      </c>
      <c r="B629" s="14"/>
      <c r="C629" s="40" t="s">
        <v>166</v>
      </c>
      <c r="D629" s="40" t="s">
        <v>12</v>
      </c>
      <c r="E629" s="40"/>
      <c r="F629" s="151"/>
      <c r="G629" s="40"/>
      <c r="H629" s="121">
        <f>H630</f>
        <v>4303000</v>
      </c>
      <c r="N629" s="121">
        <f>N630</f>
        <v>4303000</v>
      </c>
      <c r="O629" s="121"/>
      <c r="P629" s="121">
        <f>P630</f>
        <v>4303000</v>
      </c>
      <c r="Q629" s="121">
        <f>Q630</f>
        <v>4303000</v>
      </c>
      <c r="R629" s="102"/>
      <c r="S629" s="121">
        <f>S630</f>
        <v>4303000</v>
      </c>
    </row>
    <row r="630" spans="1:19" ht="31.5">
      <c r="A630" s="94" t="s">
        <v>161</v>
      </c>
      <c r="B630" s="14"/>
      <c r="C630" s="95" t="s">
        <v>166</v>
      </c>
      <c r="D630" s="95" t="s">
        <v>12</v>
      </c>
      <c r="E630" s="95" t="s">
        <v>136</v>
      </c>
      <c r="F630" s="151"/>
      <c r="G630" s="40"/>
      <c r="H630" s="121">
        <v>4303000</v>
      </c>
      <c r="N630" s="121">
        <v>4303000</v>
      </c>
      <c r="O630" s="121"/>
      <c r="P630" s="116">
        <f>N630+O630</f>
        <v>4303000</v>
      </c>
      <c r="Q630" s="121">
        <v>4303000</v>
      </c>
      <c r="R630" s="102"/>
      <c r="S630" s="116">
        <f>Q630+R630</f>
        <v>4303000</v>
      </c>
    </row>
    <row r="631" spans="1:19" ht="47.25">
      <c r="A631" s="67" t="s">
        <v>9</v>
      </c>
      <c r="B631" s="14"/>
      <c r="C631" s="40" t="s">
        <v>166</v>
      </c>
      <c r="D631" s="40" t="s">
        <v>13</v>
      </c>
      <c r="E631" s="40"/>
      <c r="F631" s="151"/>
      <c r="G631" s="40"/>
      <c r="H631" s="121">
        <f>H632</f>
        <v>1000000</v>
      </c>
      <c r="N631" s="121">
        <f>N632</f>
        <v>1000000</v>
      </c>
      <c r="O631" s="121"/>
      <c r="P631" s="121">
        <f>P632</f>
        <v>1000000</v>
      </c>
      <c r="Q631" s="121">
        <f>Q632</f>
        <v>1000000</v>
      </c>
      <c r="R631" s="102"/>
      <c r="S631" s="121">
        <f>S632</f>
        <v>1000000</v>
      </c>
    </row>
    <row r="632" spans="1:19" ht="31.5">
      <c r="A632" s="94" t="s">
        <v>161</v>
      </c>
      <c r="B632" s="14"/>
      <c r="C632" s="95" t="s">
        <v>166</v>
      </c>
      <c r="D632" s="95" t="s">
        <v>13</v>
      </c>
      <c r="E632" s="95" t="s">
        <v>136</v>
      </c>
      <c r="F632" s="151"/>
      <c r="G632" s="40"/>
      <c r="H632" s="121">
        <v>1000000</v>
      </c>
      <c r="N632" s="121">
        <v>1000000</v>
      </c>
      <c r="O632" s="121"/>
      <c r="P632" s="116">
        <f>N632+O632</f>
        <v>1000000</v>
      </c>
      <c r="Q632" s="121">
        <v>1000000</v>
      </c>
      <c r="R632" s="102"/>
      <c r="S632" s="116">
        <f>Q632+R632</f>
        <v>1000000</v>
      </c>
    </row>
    <row r="633" spans="1:19" ht="15.75">
      <c r="A633" s="86" t="s">
        <v>117</v>
      </c>
      <c r="B633" s="87"/>
      <c r="C633" s="87" t="s">
        <v>118</v>
      </c>
      <c r="D633" s="87"/>
      <c r="E633" s="87"/>
      <c r="F633" s="147">
        <f>F634+F637</f>
        <v>0</v>
      </c>
      <c r="G633" s="88"/>
      <c r="H633" s="120">
        <f>H634</f>
        <v>87000</v>
      </c>
      <c r="N633" s="120">
        <f>N634</f>
        <v>87000</v>
      </c>
      <c r="O633" s="120"/>
      <c r="P633" s="120">
        <f aca="true" t="shared" si="67" ref="P633:Q636">P634</f>
        <v>87000</v>
      </c>
      <c r="Q633" s="120">
        <f t="shared" si="67"/>
        <v>87000</v>
      </c>
      <c r="R633" s="102"/>
      <c r="S633" s="120">
        <f>S634</f>
        <v>87000</v>
      </c>
    </row>
    <row r="634" spans="1:19" ht="66.75" customHeight="1">
      <c r="A634" s="57" t="s">
        <v>379</v>
      </c>
      <c r="B634" s="14" t="s">
        <v>110</v>
      </c>
      <c r="C634" s="40" t="s">
        <v>118</v>
      </c>
      <c r="D634" s="40" t="s">
        <v>381</v>
      </c>
      <c r="E634" s="40"/>
      <c r="F634" s="152"/>
      <c r="G634" s="40"/>
      <c r="H634" s="120">
        <f>H635</f>
        <v>87000</v>
      </c>
      <c r="N634" s="120">
        <f>N635</f>
        <v>87000</v>
      </c>
      <c r="O634" s="120"/>
      <c r="P634" s="120">
        <f t="shared" si="67"/>
        <v>87000</v>
      </c>
      <c r="Q634" s="120">
        <f t="shared" si="67"/>
        <v>87000</v>
      </c>
      <c r="R634" s="102"/>
      <c r="S634" s="120">
        <f>S635</f>
        <v>87000</v>
      </c>
    </row>
    <row r="635" spans="1:19" ht="31.5">
      <c r="A635" s="85" t="s">
        <v>15</v>
      </c>
      <c r="B635" s="14"/>
      <c r="C635" s="40" t="s">
        <v>118</v>
      </c>
      <c r="D635" s="40" t="s">
        <v>478</v>
      </c>
      <c r="E635" s="40"/>
      <c r="F635" s="152"/>
      <c r="G635" s="40"/>
      <c r="H635" s="120">
        <f>H636</f>
        <v>87000</v>
      </c>
      <c r="N635" s="120">
        <f>N636</f>
        <v>87000</v>
      </c>
      <c r="O635" s="120"/>
      <c r="P635" s="120">
        <f t="shared" si="67"/>
        <v>87000</v>
      </c>
      <c r="Q635" s="120">
        <f t="shared" si="67"/>
        <v>87000</v>
      </c>
      <c r="R635" s="102"/>
      <c r="S635" s="120">
        <f>S636</f>
        <v>87000</v>
      </c>
    </row>
    <row r="636" spans="1:19" ht="35.25" customHeight="1">
      <c r="A636" s="85" t="s">
        <v>479</v>
      </c>
      <c r="B636" s="14" t="s">
        <v>110</v>
      </c>
      <c r="C636" s="40" t="s">
        <v>118</v>
      </c>
      <c r="D636" s="40" t="s">
        <v>16</v>
      </c>
      <c r="E636" s="40"/>
      <c r="F636" s="151">
        <f>F637</f>
        <v>0</v>
      </c>
      <c r="G636" s="40"/>
      <c r="H636" s="121">
        <f>H637</f>
        <v>87000</v>
      </c>
      <c r="N636" s="121">
        <f>N637</f>
        <v>87000</v>
      </c>
      <c r="O636" s="121"/>
      <c r="P636" s="121">
        <f t="shared" si="67"/>
        <v>87000</v>
      </c>
      <c r="Q636" s="121">
        <f t="shared" si="67"/>
        <v>87000</v>
      </c>
      <c r="R636" s="102"/>
      <c r="S636" s="121">
        <f>S637</f>
        <v>87000</v>
      </c>
    </row>
    <row r="637" spans="1:19" ht="36" customHeight="1">
      <c r="A637" s="96" t="s">
        <v>131</v>
      </c>
      <c r="B637" s="14" t="s">
        <v>110</v>
      </c>
      <c r="C637" s="40" t="s">
        <v>118</v>
      </c>
      <c r="D637" s="40" t="s">
        <v>16</v>
      </c>
      <c r="E637" s="40" t="s">
        <v>135</v>
      </c>
      <c r="F637" s="151">
        <v>0</v>
      </c>
      <c r="G637" s="40" t="s">
        <v>17</v>
      </c>
      <c r="H637" s="121">
        <v>87000</v>
      </c>
      <c r="N637" s="121">
        <v>87000</v>
      </c>
      <c r="O637" s="121"/>
      <c r="P637" s="116">
        <f>N637+O637</f>
        <v>87000</v>
      </c>
      <c r="Q637" s="121">
        <v>87000</v>
      </c>
      <c r="R637" s="102"/>
      <c r="S637" s="116">
        <f>Q637+R637</f>
        <v>87000</v>
      </c>
    </row>
    <row r="638" spans="1:19" ht="21.75" customHeight="1">
      <c r="A638" s="86" t="s">
        <v>53</v>
      </c>
      <c r="B638" s="87"/>
      <c r="C638" s="87" t="s">
        <v>54</v>
      </c>
      <c r="D638" s="87"/>
      <c r="E638" s="87"/>
      <c r="F638" s="147" t="e">
        <f>F648+F643+#REF!</f>
        <v>#REF!</v>
      </c>
      <c r="G638" s="88"/>
      <c r="H638" s="120">
        <f>H639+H643+H646</f>
        <v>687000</v>
      </c>
      <c r="N638" s="120">
        <f>N639+N643+N646</f>
        <v>2815600</v>
      </c>
      <c r="O638" s="120"/>
      <c r="P638" s="120">
        <f>P639+P643+P646</f>
        <v>2815600</v>
      </c>
      <c r="Q638" s="120">
        <f>Q639+Q643+Q646</f>
        <v>3500830</v>
      </c>
      <c r="R638" s="102"/>
      <c r="S638" s="120">
        <f>S639+S643+S646</f>
        <v>3500830</v>
      </c>
    </row>
    <row r="639" spans="1:19" ht="87" customHeight="1">
      <c r="A639" s="98" t="s">
        <v>412</v>
      </c>
      <c r="B639" s="87"/>
      <c r="C639" s="87" t="s">
        <v>54</v>
      </c>
      <c r="D639" s="87" t="s">
        <v>413</v>
      </c>
      <c r="E639" s="87"/>
      <c r="F639" s="147"/>
      <c r="G639" s="88"/>
      <c r="H639" s="120">
        <f>H640</f>
        <v>250000</v>
      </c>
      <c r="N639" s="120">
        <f aca="true" t="shared" si="68" ref="N639:S641">N640</f>
        <v>250000</v>
      </c>
      <c r="O639" s="120"/>
      <c r="P639" s="120">
        <f t="shared" si="68"/>
        <v>250000</v>
      </c>
      <c r="Q639" s="120">
        <f t="shared" si="68"/>
        <v>250000</v>
      </c>
      <c r="R639" s="102"/>
      <c r="S639" s="120">
        <f t="shared" si="68"/>
        <v>250000</v>
      </c>
    </row>
    <row r="640" spans="1:19" ht="47.25">
      <c r="A640" s="41" t="s">
        <v>23</v>
      </c>
      <c r="B640" s="14"/>
      <c r="C640" s="24" t="s">
        <v>54</v>
      </c>
      <c r="D640" s="24" t="s">
        <v>24</v>
      </c>
      <c r="E640" s="24"/>
      <c r="F640" s="39"/>
      <c r="G640" s="97"/>
      <c r="H640" s="115">
        <f>H641</f>
        <v>250000</v>
      </c>
      <c r="N640" s="115">
        <f t="shared" si="68"/>
        <v>250000</v>
      </c>
      <c r="O640" s="115"/>
      <c r="P640" s="115">
        <f t="shared" si="68"/>
        <v>250000</v>
      </c>
      <c r="Q640" s="115">
        <f t="shared" si="68"/>
        <v>250000</v>
      </c>
      <c r="R640" s="102"/>
      <c r="S640" s="115">
        <f t="shared" si="68"/>
        <v>250000</v>
      </c>
    </row>
    <row r="641" spans="1:19" ht="15.75">
      <c r="A641" s="36" t="s">
        <v>466</v>
      </c>
      <c r="B641" s="14"/>
      <c r="C641" s="24" t="s">
        <v>54</v>
      </c>
      <c r="D641" s="24" t="s">
        <v>25</v>
      </c>
      <c r="E641" s="24"/>
      <c r="F641" s="39"/>
      <c r="G641" s="97"/>
      <c r="H641" s="115">
        <f>H642</f>
        <v>250000</v>
      </c>
      <c r="N641" s="115">
        <f t="shared" si="68"/>
        <v>250000</v>
      </c>
      <c r="O641" s="115"/>
      <c r="P641" s="115">
        <f t="shared" si="68"/>
        <v>250000</v>
      </c>
      <c r="Q641" s="115">
        <f t="shared" si="68"/>
        <v>250000</v>
      </c>
      <c r="R641" s="102"/>
      <c r="S641" s="115">
        <f t="shared" si="68"/>
        <v>250000</v>
      </c>
    </row>
    <row r="642" spans="1:19" ht="31.5">
      <c r="A642" s="41" t="s">
        <v>161</v>
      </c>
      <c r="B642" s="14"/>
      <c r="C642" s="24" t="s">
        <v>54</v>
      </c>
      <c r="D642" s="24" t="s">
        <v>25</v>
      </c>
      <c r="E642" s="24" t="s">
        <v>136</v>
      </c>
      <c r="F642" s="39"/>
      <c r="G642" s="97"/>
      <c r="H642" s="115">
        <v>250000</v>
      </c>
      <c r="N642" s="115">
        <v>250000</v>
      </c>
      <c r="O642" s="115"/>
      <c r="P642" s="116">
        <f>N642+O642</f>
        <v>250000</v>
      </c>
      <c r="Q642" s="115">
        <v>250000</v>
      </c>
      <c r="R642" s="102"/>
      <c r="S642" s="116">
        <f>Q642+R642</f>
        <v>250000</v>
      </c>
    </row>
    <row r="643" spans="1:19" ht="69" customHeight="1">
      <c r="A643" s="165" t="s">
        <v>18</v>
      </c>
      <c r="B643" s="14"/>
      <c r="C643" s="40" t="s">
        <v>54</v>
      </c>
      <c r="D643" s="40" t="s">
        <v>20</v>
      </c>
      <c r="E643" s="40"/>
      <c r="F643" s="151"/>
      <c r="G643" s="40"/>
      <c r="H643" s="121">
        <f>H644</f>
        <v>387000</v>
      </c>
      <c r="N643" s="121">
        <f>N644</f>
        <v>2515600</v>
      </c>
      <c r="O643" s="121"/>
      <c r="P643" s="121">
        <f>P644</f>
        <v>2515600</v>
      </c>
      <c r="Q643" s="121">
        <f>Q644</f>
        <v>3200830</v>
      </c>
      <c r="R643" s="102"/>
      <c r="S643" s="121">
        <f>S644</f>
        <v>3200830</v>
      </c>
    </row>
    <row r="644" spans="1:19" ht="31.5">
      <c r="A644" s="85" t="s">
        <v>19</v>
      </c>
      <c r="B644" s="14"/>
      <c r="C644" s="40" t="s">
        <v>54</v>
      </c>
      <c r="D644" s="40" t="s">
        <v>21</v>
      </c>
      <c r="E644" s="40"/>
      <c r="F644" s="151"/>
      <c r="G644" s="40"/>
      <c r="H644" s="121">
        <f>H645</f>
        <v>387000</v>
      </c>
      <c r="N644" s="121">
        <f>N645</f>
        <v>2515600</v>
      </c>
      <c r="O644" s="121"/>
      <c r="P644" s="121">
        <f>P645</f>
        <v>2515600</v>
      </c>
      <c r="Q644" s="121">
        <f>Q645</f>
        <v>3200830</v>
      </c>
      <c r="R644" s="102"/>
      <c r="S644" s="121">
        <f>S645</f>
        <v>3200830</v>
      </c>
    </row>
    <row r="645" spans="1:19" ht="31.5">
      <c r="A645" s="85" t="s">
        <v>163</v>
      </c>
      <c r="B645" s="14"/>
      <c r="C645" s="40" t="s">
        <v>54</v>
      </c>
      <c r="D645" s="40" t="s">
        <v>21</v>
      </c>
      <c r="E645" s="40" t="s">
        <v>136</v>
      </c>
      <c r="F645" s="151"/>
      <c r="G645" s="40"/>
      <c r="H645" s="121">
        <v>387000</v>
      </c>
      <c r="N645" s="121">
        <v>2515600</v>
      </c>
      <c r="O645" s="121"/>
      <c r="P645" s="116">
        <f>N645+O645</f>
        <v>2515600</v>
      </c>
      <c r="Q645" s="121">
        <v>3200830</v>
      </c>
      <c r="R645" s="102"/>
      <c r="S645" s="116">
        <f>Q645+R645</f>
        <v>3200830</v>
      </c>
    </row>
    <row r="646" spans="1:19" ht="135" customHeight="1">
      <c r="A646" s="163" t="s">
        <v>455</v>
      </c>
      <c r="B646" s="14"/>
      <c r="C646" s="40" t="s">
        <v>54</v>
      </c>
      <c r="D646" s="40" t="s">
        <v>374</v>
      </c>
      <c r="E646" s="40"/>
      <c r="F646" s="151"/>
      <c r="G646" s="40"/>
      <c r="H646" s="121">
        <f>H647</f>
        <v>50000</v>
      </c>
      <c r="N646" s="121">
        <f aca="true" t="shared" si="69" ref="N646:S648">N647</f>
        <v>50000</v>
      </c>
      <c r="O646" s="121"/>
      <c r="P646" s="121">
        <f t="shared" si="69"/>
        <v>50000</v>
      </c>
      <c r="Q646" s="121">
        <f t="shared" si="69"/>
        <v>50000</v>
      </c>
      <c r="R646" s="102"/>
      <c r="S646" s="121">
        <f t="shared" si="69"/>
        <v>50000</v>
      </c>
    </row>
    <row r="647" spans="1:19" ht="78.75">
      <c r="A647" s="36" t="s">
        <v>527</v>
      </c>
      <c r="B647" s="14"/>
      <c r="C647" s="40" t="s">
        <v>54</v>
      </c>
      <c r="D647" s="40" t="s">
        <v>456</v>
      </c>
      <c r="E647" s="40"/>
      <c r="F647" s="151"/>
      <c r="G647" s="40"/>
      <c r="H647" s="121">
        <f>H648</f>
        <v>50000</v>
      </c>
      <c r="N647" s="121">
        <f t="shared" si="69"/>
        <v>50000</v>
      </c>
      <c r="O647" s="121"/>
      <c r="P647" s="121">
        <f t="shared" si="69"/>
        <v>50000</v>
      </c>
      <c r="Q647" s="121">
        <f t="shared" si="69"/>
        <v>50000</v>
      </c>
      <c r="R647" s="102"/>
      <c r="S647" s="121">
        <f t="shared" si="69"/>
        <v>50000</v>
      </c>
    </row>
    <row r="648" spans="1:19" ht="31.5">
      <c r="A648" s="85" t="s">
        <v>167</v>
      </c>
      <c r="B648" s="14"/>
      <c r="C648" s="40" t="s">
        <v>54</v>
      </c>
      <c r="D648" s="40" t="s">
        <v>22</v>
      </c>
      <c r="E648" s="40"/>
      <c r="F648" s="151"/>
      <c r="G648" s="40"/>
      <c r="H648" s="121">
        <f>H649</f>
        <v>50000</v>
      </c>
      <c r="N648" s="121">
        <f t="shared" si="69"/>
        <v>50000</v>
      </c>
      <c r="O648" s="121"/>
      <c r="P648" s="121">
        <f t="shared" si="69"/>
        <v>50000</v>
      </c>
      <c r="Q648" s="121">
        <f t="shared" si="69"/>
        <v>50000</v>
      </c>
      <c r="R648" s="102"/>
      <c r="S648" s="121">
        <f t="shared" si="69"/>
        <v>50000</v>
      </c>
    </row>
    <row r="649" spans="1:19" ht="47.25">
      <c r="A649" s="64" t="s">
        <v>531</v>
      </c>
      <c r="B649" s="14"/>
      <c r="C649" s="40" t="s">
        <v>54</v>
      </c>
      <c r="D649" s="40" t="s">
        <v>22</v>
      </c>
      <c r="E649" s="40" t="s">
        <v>532</v>
      </c>
      <c r="F649" s="151"/>
      <c r="G649" s="40"/>
      <c r="H649" s="121">
        <v>50000</v>
      </c>
      <c r="N649" s="121">
        <v>50000</v>
      </c>
      <c r="O649" s="121"/>
      <c r="P649" s="116">
        <f>N649+O649</f>
        <v>50000</v>
      </c>
      <c r="Q649" s="121">
        <v>50000</v>
      </c>
      <c r="R649" s="102"/>
      <c r="S649" s="116">
        <f>Q649+R649</f>
        <v>50000</v>
      </c>
    </row>
    <row r="650" spans="1:19" ht="15.75">
      <c r="A650" s="41" t="s">
        <v>55</v>
      </c>
      <c r="B650" s="24">
        <v>901</v>
      </c>
      <c r="C650" s="24" t="s">
        <v>56</v>
      </c>
      <c r="D650" s="24"/>
      <c r="E650" s="24"/>
      <c r="F650" s="148" t="e">
        <f>F651+F658+F689+F699</f>
        <v>#REF!</v>
      </c>
      <c r="G650" s="18"/>
      <c r="H650" s="116">
        <f>H651+H658+H689++H699</f>
        <v>35702500</v>
      </c>
      <c r="N650" s="116">
        <f>N651+N658+N689++N699</f>
        <v>32402500</v>
      </c>
      <c r="O650" s="116"/>
      <c r="P650" s="116">
        <f>P651+P658+P689++P699</f>
        <v>32402500</v>
      </c>
      <c r="Q650" s="116">
        <f>Q651+Q658+Q689++Q699</f>
        <v>32402500</v>
      </c>
      <c r="R650" s="102"/>
      <c r="S650" s="116">
        <f>S651+S658+S689++S699</f>
        <v>32402500</v>
      </c>
    </row>
    <row r="651" spans="1:19" ht="15.75">
      <c r="A651" s="52" t="s">
        <v>57</v>
      </c>
      <c r="B651" s="24">
        <v>901</v>
      </c>
      <c r="C651" s="24" t="s">
        <v>58</v>
      </c>
      <c r="D651" s="24"/>
      <c r="E651" s="24"/>
      <c r="F651" s="148" t="e">
        <f>F653</f>
        <v>#REF!</v>
      </c>
      <c r="G651" s="18"/>
      <c r="H651" s="116">
        <f>H652</f>
        <v>3013300</v>
      </c>
      <c r="N651" s="116">
        <f>N652</f>
        <v>3013300</v>
      </c>
      <c r="O651" s="116"/>
      <c r="P651" s="116">
        <f>P652</f>
        <v>3013300</v>
      </c>
      <c r="Q651" s="116">
        <f>Q652</f>
        <v>3013300</v>
      </c>
      <c r="R651" s="102"/>
      <c r="S651" s="116">
        <f>S652</f>
        <v>3013300</v>
      </c>
    </row>
    <row r="652" spans="1:19" ht="94.5">
      <c r="A652" s="161" t="s">
        <v>219</v>
      </c>
      <c r="B652" s="31" t="s">
        <v>110</v>
      </c>
      <c r="C652" s="31" t="s">
        <v>58</v>
      </c>
      <c r="D652" s="31" t="s">
        <v>39</v>
      </c>
      <c r="E652" s="31"/>
      <c r="F652" s="148"/>
      <c r="G652" s="19"/>
      <c r="H652" s="116">
        <f>H653</f>
        <v>3013300</v>
      </c>
      <c r="N652" s="116">
        <f>N653</f>
        <v>3013300</v>
      </c>
      <c r="O652" s="116"/>
      <c r="P652" s="116">
        <f>P653</f>
        <v>3013300</v>
      </c>
      <c r="Q652" s="116">
        <f>Q653</f>
        <v>3013300</v>
      </c>
      <c r="R652" s="102"/>
      <c r="S652" s="116">
        <f>S653</f>
        <v>3013300</v>
      </c>
    </row>
    <row r="653" spans="1:19" ht="39.75" customHeight="1">
      <c r="A653" s="52" t="s">
        <v>225</v>
      </c>
      <c r="B653" s="24" t="s">
        <v>110</v>
      </c>
      <c r="C653" s="24" t="s">
        <v>58</v>
      </c>
      <c r="D653" s="42" t="s">
        <v>40</v>
      </c>
      <c r="E653" s="24"/>
      <c r="F653" s="80" t="e">
        <f>#REF!+F656</f>
        <v>#REF!</v>
      </c>
      <c r="G653" s="24"/>
      <c r="H653" s="116">
        <f>H654+H656</f>
        <v>3013300</v>
      </c>
      <c r="N653" s="116">
        <f>N654+N656</f>
        <v>3013300</v>
      </c>
      <c r="O653" s="116"/>
      <c r="P653" s="116">
        <f>P654+P656</f>
        <v>3013300</v>
      </c>
      <c r="Q653" s="116">
        <f>Q654+Q656</f>
        <v>3013300</v>
      </c>
      <c r="R653" s="102"/>
      <c r="S653" s="116">
        <f>S654+S656</f>
        <v>3013300</v>
      </c>
    </row>
    <row r="654" spans="1:19" ht="47.25">
      <c r="A654" s="54" t="s">
        <v>226</v>
      </c>
      <c r="B654" s="24" t="s">
        <v>110</v>
      </c>
      <c r="C654" s="24" t="s">
        <v>58</v>
      </c>
      <c r="D654" s="24" t="s">
        <v>227</v>
      </c>
      <c r="E654" s="24"/>
      <c r="F654" s="80"/>
      <c r="G654" s="24"/>
      <c r="H654" s="116">
        <f>H655</f>
        <v>2100300</v>
      </c>
      <c r="N654" s="116">
        <f>N655</f>
        <v>2100300</v>
      </c>
      <c r="O654" s="116"/>
      <c r="P654" s="116">
        <f>P655</f>
        <v>2100300</v>
      </c>
      <c r="Q654" s="116">
        <f>Q655</f>
        <v>2100300</v>
      </c>
      <c r="R654" s="102"/>
      <c r="S654" s="116">
        <f>S655</f>
        <v>2100300</v>
      </c>
    </row>
    <row r="655" spans="1:19" ht="33.75" customHeight="1">
      <c r="A655" s="50" t="s">
        <v>161</v>
      </c>
      <c r="B655" s="24" t="s">
        <v>110</v>
      </c>
      <c r="C655" s="24" t="s">
        <v>58</v>
      </c>
      <c r="D655" s="42" t="s">
        <v>227</v>
      </c>
      <c r="E655" s="24" t="s">
        <v>136</v>
      </c>
      <c r="F655" s="80">
        <v>0</v>
      </c>
      <c r="G655" s="24" t="s">
        <v>228</v>
      </c>
      <c r="H655" s="116">
        <v>2100300</v>
      </c>
      <c r="N655" s="116">
        <v>2100300</v>
      </c>
      <c r="O655" s="116"/>
      <c r="P655" s="116">
        <f>N655+O655</f>
        <v>2100300</v>
      </c>
      <c r="Q655" s="116">
        <v>2100300</v>
      </c>
      <c r="R655" s="102"/>
      <c r="S655" s="116">
        <f>Q655+R655</f>
        <v>2100300</v>
      </c>
    </row>
    <row r="656" spans="1:19" ht="35.25" customHeight="1">
      <c r="A656" s="54" t="s">
        <v>229</v>
      </c>
      <c r="B656" s="24" t="s">
        <v>110</v>
      </c>
      <c r="C656" s="24" t="s">
        <v>58</v>
      </c>
      <c r="D656" s="159" t="s">
        <v>230</v>
      </c>
      <c r="E656" s="24"/>
      <c r="F656" s="80" t="e">
        <f>#REF!+F657</f>
        <v>#REF!</v>
      </c>
      <c r="G656" s="24"/>
      <c r="H656" s="116">
        <f>H657</f>
        <v>913000</v>
      </c>
      <c r="N656" s="116">
        <f>N657</f>
        <v>913000</v>
      </c>
      <c r="O656" s="116"/>
      <c r="P656" s="116">
        <f>P657</f>
        <v>913000</v>
      </c>
      <c r="Q656" s="116">
        <f>Q657</f>
        <v>913000</v>
      </c>
      <c r="R656" s="102"/>
      <c r="S656" s="116">
        <f>S657</f>
        <v>913000</v>
      </c>
    </row>
    <row r="657" spans="1:19" ht="35.25" customHeight="1">
      <c r="A657" s="41" t="s">
        <v>160</v>
      </c>
      <c r="B657" s="24">
        <v>901</v>
      </c>
      <c r="C657" s="24" t="s">
        <v>58</v>
      </c>
      <c r="D657" s="209" t="s">
        <v>230</v>
      </c>
      <c r="E657" s="208">
        <v>243</v>
      </c>
      <c r="F657" s="80" t="e">
        <f>#REF!</f>
        <v>#REF!</v>
      </c>
      <c r="G657" s="24"/>
      <c r="H657" s="116">
        <v>913000</v>
      </c>
      <c r="N657" s="116">
        <v>913000</v>
      </c>
      <c r="O657" s="116"/>
      <c r="P657" s="116">
        <f>N657+O657</f>
        <v>913000</v>
      </c>
      <c r="Q657" s="116">
        <v>913000</v>
      </c>
      <c r="R657" s="102"/>
      <c r="S657" s="116">
        <f>Q657+R657</f>
        <v>913000</v>
      </c>
    </row>
    <row r="658" spans="1:19" ht="27.75" customHeight="1">
      <c r="A658" s="41" t="s">
        <v>59</v>
      </c>
      <c r="B658" s="24" t="s">
        <v>110</v>
      </c>
      <c r="C658" s="24" t="s">
        <v>60</v>
      </c>
      <c r="D658" s="24"/>
      <c r="E658" s="24"/>
      <c r="F658" s="148" t="e">
        <f>#REF!+#REF!+#REF!+F664+#REF!+#REF!</f>
        <v>#REF!</v>
      </c>
      <c r="G658" s="18"/>
      <c r="H658" s="116">
        <f>H664+H674+H681+H659</f>
        <v>21952200</v>
      </c>
      <c r="N658" s="116">
        <f>N664+N674+N681+N659</f>
        <v>18952200</v>
      </c>
      <c r="O658" s="116"/>
      <c r="P658" s="116">
        <f>P664+P674+P681+P659</f>
        <v>18952200</v>
      </c>
      <c r="Q658" s="116">
        <f>Q664+Q674+Q681+Q659</f>
        <v>18952200</v>
      </c>
      <c r="R658" s="102"/>
      <c r="S658" s="116">
        <f>S664+S674+S681+S659</f>
        <v>18952200</v>
      </c>
    </row>
    <row r="659" spans="1:19" ht="37.5" customHeight="1">
      <c r="A659" s="41" t="s">
        <v>231</v>
      </c>
      <c r="B659" s="24" t="s">
        <v>110</v>
      </c>
      <c r="C659" s="24" t="s">
        <v>60</v>
      </c>
      <c r="D659" s="24" t="s">
        <v>112</v>
      </c>
      <c r="E659" s="24"/>
      <c r="F659" s="80"/>
      <c r="G659" s="24"/>
      <c r="H659" s="116">
        <f>H660</f>
        <v>300000</v>
      </c>
      <c r="N659" s="116">
        <f aca="true" t="shared" si="70" ref="N659:S661">N660</f>
        <v>300000</v>
      </c>
      <c r="O659" s="116"/>
      <c r="P659" s="116">
        <f t="shared" si="70"/>
        <v>300000</v>
      </c>
      <c r="Q659" s="116">
        <f t="shared" si="70"/>
        <v>300000</v>
      </c>
      <c r="R659" s="102"/>
      <c r="S659" s="116">
        <f t="shared" si="70"/>
        <v>300000</v>
      </c>
    </row>
    <row r="660" spans="1:19" ht="39.75" customHeight="1">
      <c r="A660" s="41" t="s">
        <v>232</v>
      </c>
      <c r="B660" s="24" t="s">
        <v>110</v>
      </c>
      <c r="C660" s="24" t="s">
        <v>60</v>
      </c>
      <c r="D660" s="24" t="s">
        <v>233</v>
      </c>
      <c r="E660" s="24"/>
      <c r="F660" s="80"/>
      <c r="G660" s="24"/>
      <c r="H660" s="116">
        <f>H661</f>
        <v>300000</v>
      </c>
      <c r="N660" s="116">
        <f t="shared" si="70"/>
        <v>300000</v>
      </c>
      <c r="O660" s="116"/>
      <c r="P660" s="116">
        <f t="shared" si="70"/>
        <v>300000</v>
      </c>
      <c r="Q660" s="116">
        <f t="shared" si="70"/>
        <v>300000</v>
      </c>
      <c r="R660" s="102"/>
      <c r="S660" s="116">
        <f t="shared" si="70"/>
        <v>300000</v>
      </c>
    </row>
    <row r="661" spans="1:19" ht="36.75" customHeight="1">
      <c r="A661" s="41" t="s">
        <v>234</v>
      </c>
      <c r="B661" s="24" t="s">
        <v>110</v>
      </c>
      <c r="C661" s="24" t="s">
        <v>60</v>
      </c>
      <c r="D661" s="24" t="s">
        <v>235</v>
      </c>
      <c r="E661" s="24"/>
      <c r="F661" s="80"/>
      <c r="G661" s="24"/>
      <c r="H661" s="116">
        <f>H662</f>
        <v>300000</v>
      </c>
      <c r="N661" s="116">
        <f t="shared" si="70"/>
        <v>300000</v>
      </c>
      <c r="O661" s="116"/>
      <c r="P661" s="116">
        <f t="shared" si="70"/>
        <v>300000</v>
      </c>
      <c r="Q661" s="116">
        <f t="shared" si="70"/>
        <v>300000</v>
      </c>
      <c r="R661" s="102"/>
      <c r="S661" s="116">
        <f t="shared" si="70"/>
        <v>300000</v>
      </c>
    </row>
    <row r="662" spans="1:19" ht="36" customHeight="1">
      <c r="A662" s="50" t="s">
        <v>161</v>
      </c>
      <c r="B662" s="24" t="s">
        <v>110</v>
      </c>
      <c r="C662" s="24" t="s">
        <v>60</v>
      </c>
      <c r="D662" s="24" t="s">
        <v>235</v>
      </c>
      <c r="E662" s="24" t="s">
        <v>136</v>
      </c>
      <c r="F662" s="80"/>
      <c r="G662" s="24"/>
      <c r="H662" s="116">
        <v>300000</v>
      </c>
      <c r="N662" s="116">
        <v>300000</v>
      </c>
      <c r="O662" s="116"/>
      <c r="P662" s="116">
        <f>N662+O662</f>
        <v>300000</v>
      </c>
      <c r="Q662" s="116">
        <v>300000</v>
      </c>
      <c r="R662" s="102"/>
      <c r="S662" s="116">
        <f>Q662+R662</f>
        <v>300000</v>
      </c>
    </row>
    <row r="663" spans="1:19" ht="93.75" customHeight="1">
      <c r="A663" s="161" t="s">
        <v>219</v>
      </c>
      <c r="B663" s="24" t="s">
        <v>110</v>
      </c>
      <c r="C663" s="24" t="s">
        <v>60</v>
      </c>
      <c r="D663" s="24" t="s">
        <v>39</v>
      </c>
      <c r="E663" s="24"/>
      <c r="F663" s="80"/>
      <c r="G663" s="24"/>
      <c r="H663" s="116">
        <f>H664+H674</f>
        <v>14721000</v>
      </c>
      <c r="N663" s="116">
        <f>N664+N674</f>
        <v>14721000</v>
      </c>
      <c r="O663" s="116"/>
      <c r="P663" s="116">
        <f>P664+P674</f>
        <v>14721000</v>
      </c>
      <c r="Q663" s="116">
        <f>Q664+Q674</f>
        <v>14721000</v>
      </c>
      <c r="R663" s="102"/>
      <c r="S663" s="116">
        <f>S664+S674</f>
        <v>14721000</v>
      </c>
    </row>
    <row r="664" spans="1:19" ht="47.25">
      <c r="A664" s="52" t="s">
        <v>236</v>
      </c>
      <c r="B664" s="31" t="s">
        <v>110</v>
      </c>
      <c r="C664" s="31" t="s">
        <v>60</v>
      </c>
      <c r="D664" s="31" t="s">
        <v>237</v>
      </c>
      <c r="E664" s="31"/>
      <c r="F664" s="153" t="e">
        <f>#REF!+F665+F668</f>
        <v>#REF!</v>
      </c>
      <c r="G664" s="31"/>
      <c r="H664" s="115">
        <f>H665+H668+H670+H672</f>
        <v>9704000</v>
      </c>
      <c r="N664" s="115">
        <f>N665+N668+N670+N672</f>
        <v>9704000</v>
      </c>
      <c r="O664" s="115"/>
      <c r="P664" s="115">
        <f>P665+P668+P670+P672</f>
        <v>9704000</v>
      </c>
      <c r="Q664" s="115">
        <f>Q665+Q668+Q670+Q672</f>
        <v>9704000</v>
      </c>
      <c r="R664" s="102"/>
      <c r="S664" s="115">
        <f>S665+S668+S670+S672</f>
        <v>9704000</v>
      </c>
    </row>
    <row r="665" spans="1:19" ht="39" customHeight="1">
      <c r="A665" s="52" t="s">
        <v>238</v>
      </c>
      <c r="B665" s="31" t="s">
        <v>110</v>
      </c>
      <c r="C665" s="31" t="s">
        <v>60</v>
      </c>
      <c r="D665" s="31" t="s">
        <v>239</v>
      </c>
      <c r="E665" s="31"/>
      <c r="F665" s="153">
        <f>F666</f>
        <v>0</v>
      </c>
      <c r="G665" s="31"/>
      <c r="H665" s="115">
        <f>H666</f>
        <v>3300000</v>
      </c>
      <c r="N665" s="115">
        <f>N666</f>
        <v>3300000</v>
      </c>
      <c r="O665" s="115"/>
      <c r="P665" s="115">
        <f>P666+P667</f>
        <v>3300000</v>
      </c>
      <c r="Q665" s="115">
        <f>Q666</f>
        <v>3300000</v>
      </c>
      <c r="R665" s="102"/>
      <c r="S665" s="115">
        <f>S666+S667</f>
        <v>3300000</v>
      </c>
    </row>
    <row r="666" spans="1:19" ht="36.75" customHeight="1">
      <c r="A666" s="50" t="s">
        <v>161</v>
      </c>
      <c r="B666" s="31" t="s">
        <v>110</v>
      </c>
      <c r="C666" s="31" t="s">
        <v>60</v>
      </c>
      <c r="D666" s="31" t="s">
        <v>239</v>
      </c>
      <c r="E666" s="31" t="s">
        <v>136</v>
      </c>
      <c r="F666" s="153">
        <v>0</v>
      </c>
      <c r="G666" s="31" t="s">
        <v>240</v>
      </c>
      <c r="H666" s="115">
        <v>3300000</v>
      </c>
      <c r="N666" s="115">
        <v>3300000</v>
      </c>
      <c r="O666" s="115">
        <f>-3300000</f>
        <v>-3300000</v>
      </c>
      <c r="P666" s="116">
        <f aca="true" t="shared" si="71" ref="P666:P673">N666+O666</f>
        <v>0</v>
      </c>
      <c r="Q666" s="115">
        <v>3300000</v>
      </c>
      <c r="R666" s="102">
        <f>-3300000</f>
        <v>-3300000</v>
      </c>
      <c r="S666" s="116">
        <f aca="true" t="shared" si="72" ref="S666:S673">Q666+R666</f>
        <v>0</v>
      </c>
    </row>
    <row r="667" spans="1:19" ht="54" customHeight="1">
      <c r="A667" s="50" t="s">
        <v>277</v>
      </c>
      <c r="B667" s="31"/>
      <c r="C667" s="31" t="s">
        <v>60</v>
      </c>
      <c r="D667" s="31" t="s">
        <v>239</v>
      </c>
      <c r="E667" s="31" t="s">
        <v>151</v>
      </c>
      <c r="F667" s="153"/>
      <c r="G667" s="31"/>
      <c r="H667" s="115"/>
      <c r="N667" s="115"/>
      <c r="O667" s="115">
        <f>3300000</f>
        <v>3300000</v>
      </c>
      <c r="P667" s="116">
        <f>N667+O667</f>
        <v>3300000</v>
      </c>
      <c r="Q667" s="115"/>
      <c r="R667" s="102">
        <f>3300000</f>
        <v>3300000</v>
      </c>
      <c r="S667" s="116">
        <f>Q667+R667</f>
        <v>3300000</v>
      </c>
    </row>
    <row r="668" spans="1:19" ht="47.25">
      <c r="A668" s="54" t="s">
        <v>241</v>
      </c>
      <c r="B668" s="24" t="s">
        <v>110</v>
      </c>
      <c r="C668" s="24" t="s">
        <v>60</v>
      </c>
      <c r="D668" s="24" t="s">
        <v>242</v>
      </c>
      <c r="E668" s="24"/>
      <c r="F668" s="80">
        <f>F669</f>
        <v>0</v>
      </c>
      <c r="G668" s="43"/>
      <c r="H668" s="116">
        <f>H669</f>
        <v>3500000</v>
      </c>
      <c r="N668" s="116">
        <f>N669</f>
        <v>3500000</v>
      </c>
      <c r="O668" s="116"/>
      <c r="P668" s="116">
        <f>P669</f>
        <v>3500000</v>
      </c>
      <c r="Q668" s="116">
        <f>Q669</f>
        <v>3500000</v>
      </c>
      <c r="R668" s="102"/>
      <c r="S668" s="116">
        <f>S669</f>
        <v>3500000</v>
      </c>
    </row>
    <row r="669" spans="1:19" ht="33.75" customHeight="1">
      <c r="A669" s="50" t="s">
        <v>161</v>
      </c>
      <c r="B669" s="24" t="s">
        <v>110</v>
      </c>
      <c r="C669" s="24" t="s">
        <v>60</v>
      </c>
      <c r="D669" s="24" t="s">
        <v>242</v>
      </c>
      <c r="E669" s="24" t="s">
        <v>136</v>
      </c>
      <c r="F669" s="80">
        <v>0</v>
      </c>
      <c r="G669" s="44">
        <v>2332000</v>
      </c>
      <c r="H669" s="116">
        <v>3500000</v>
      </c>
      <c r="N669" s="116">
        <v>3500000</v>
      </c>
      <c r="O669" s="116"/>
      <c r="P669" s="116">
        <f t="shared" si="71"/>
        <v>3500000</v>
      </c>
      <c r="Q669" s="116">
        <v>3500000</v>
      </c>
      <c r="R669" s="102"/>
      <c r="S669" s="116">
        <f t="shared" si="72"/>
        <v>3500000</v>
      </c>
    </row>
    <row r="670" spans="1:19" ht="32.25" customHeight="1">
      <c r="A670" s="54" t="s">
        <v>243</v>
      </c>
      <c r="B670" s="24" t="s">
        <v>110</v>
      </c>
      <c r="C670" s="24" t="s">
        <v>60</v>
      </c>
      <c r="D670" s="24" t="s">
        <v>244</v>
      </c>
      <c r="E670" s="24"/>
      <c r="F670" s="80"/>
      <c r="G670" s="44"/>
      <c r="H670" s="116">
        <f>H671</f>
        <v>400000</v>
      </c>
      <c r="N670" s="116">
        <f>N671</f>
        <v>400000</v>
      </c>
      <c r="O670" s="116"/>
      <c r="P670" s="116">
        <f>P671</f>
        <v>400000</v>
      </c>
      <c r="Q670" s="116">
        <f>Q671</f>
        <v>400000</v>
      </c>
      <c r="R670" s="102"/>
      <c r="S670" s="116">
        <f>S671</f>
        <v>400000</v>
      </c>
    </row>
    <row r="671" spans="1:19" ht="37.5" customHeight="1">
      <c r="A671" s="50" t="s">
        <v>161</v>
      </c>
      <c r="B671" s="24" t="s">
        <v>110</v>
      </c>
      <c r="C671" s="24" t="s">
        <v>60</v>
      </c>
      <c r="D671" s="24" t="s">
        <v>244</v>
      </c>
      <c r="E671" s="24" t="s">
        <v>136</v>
      </c>
      <c r="F671" s="80"/>
      <c r="G671" s="44"/>
      <c r="H671" s="116">
        <v>400000</v>
      </c>
      <c r="N671" s="116">
        <v>400000</v>
      </c>
      <c r="O671" s="116"/>
      <c r="P671" s="116">
        <f t="shared" si="71"/>
        <v>400000</v>
      </c>
      <c r="Q671" s="116">
        <v>400000</v>
      </c>
      <c r="R671" s="102"/>
      <c r="S671" s="116">
        <f t="shared" si="72"/>
        <v>400000</v>
      </c>
    </row>
    <row r="672" spans="1:19" ht="36.75" customHeight="1">
      <c r="A672" s="54" t="s">
        <v>245</v>
      </c>
      <c r="B672" s="24" t="s">
        <v>110</v>
      </c>
      <c r="C672" s="24" t="s">
        <v>60</v>
      </c>
      <c r="D672" s="24" t="s">
        <v>246</v>
      </c>
      <c r="E672" s="24"/>
      <c r="F672" s="80"/>
      <c r="G672" s="44"/>
      <c r="H672" s="116">
        <f>H673</f>
        <v>2504000</v>
      </c>
      <c r="N672" s="116">
        <f>N673</f>
        <v>2504000</v>
      </c>
      <c r="O672" s="116"/>
      <c r="P672" s="116">
        <f>P673</f>
        <v>2504000</v>
      </c>
      <c r="Q672" s="116">
        <f>Q673</f>
        <v>2504000</v>
      </c>
      <c r="R672" s="102"/>
      <c r="S672" s="116">
        <f>S673</f>
        <v>2504000</v>
      </c>
    </row>
    <row r="673" spans="1:19" ht="35.25" customHeight="1">
      <c r="A673" s="50" t="s">
        <v>161</v>
      </c>
      <c r="B673" s="24" t="s">
        <v>110</v>
      </c>
      <c r="C673" s="24" t="s">
        <v>60</v>
      </c>
      <c r="D673" s="24" t="s">
        <v>246</v>
      </c>
      <c r="E673" s="24" t="s">
        <v>136</v>
      </c>
      <c r="F673" s="80"/>
      <c r="G673" s="44"/>
      <c r="H673" s="116">
        <v>2504000</v>
      </c>
      <c r="N673" s="116">
        <v>2504000</v>
      </c>
      <c r="O673" s="116"/>
      <c r="P673" s="116">
        <f t="shared" si="71"/>
        <v>2504000</v>
      </c>
      <c r="Q673" s="116">
        <v>2504000</v>
      </c>
      <c r="R673" s="102"/>
      <c r="S673" s="116">
        <f t="shared" si="72"/>
        <v>2504000</v>
      </c>
    </row>
    <row r="674" spans="1:19" ht="47.25">
      <c r="A674" s="55" t="s">
        <v>247</v>
      </c>
      <c r="B674" s="24" t="s">
        <v>110</v>
      </c>
      <c r="C674" s="24" t="s">
        <v>60</v>
      </c>
      <c r="D674" s="45" t="s">
        <v>41</v>
      </c>
      <c r="E674" s="24"/>
      <c r="F674" s="80"/>
      <c r="G674" s="44"/>
      <c r="H674" s="116">
        <f>H675+H677+H679</f>
        <v>5017000</v>
      </c>
      <c r="N674" s="116">
        <f>N675+N677+N679</f>
        <v>5017000</v>
      </c>
      <c r="O674" s="116"/>
      <c r="P674" s="116">
        <f>P675+P677+P679</f>
        <v>5017000</v>
      </c>
      <c r="Q674" s="116">
        <f>Q675+Q677+Q679</f>
        <v>5017000</v>
      </c>
      <c r="R674" s="102"/>
      <c r="S674" s="116">
        <f>S675+S677+S679</f>
        <v>5017000</v>
      </c>
    </row>
    <row r="675" spans="1:19" ht="47.25">
      <c r="A675" s="54" t="s">
        <v>248</v>
      </c>
      <c r="B675" s="24" t="s">
        <v>110</v>
      </c>
      <c r="C675" s="24" t="s">
        <v>60</v>
      </c>
      <c r="D675" s="24" t="s">
        <v>249</v>
      </c>
      <c r="E675" s="24"/>
      <c r="F675" s="80"/>
      <c r="G675" s="44"/>
      <c r="H675" s="116">
        <f>H676</f>
        <v>3173520</v>
      </c>
      <c r="N675" s="116">
        <f>N676</f>
        <v>3173520</v>
      </c>
      <c r="O675" s="116"/>
      <c r="P675" s="116">
        <f>P676</f>
        <v>3173520</v>
      </c>
      <c r="Q675" s="116">
        <f>Q676</f>
        <v>3173520</v>
      </c>
      <c r="R675" s="102"/>
      <c r="S675" s="116">
        <f>S676</f>
        <v>3173520</v>
      </c>
    </row>
    <row r="676" spans="1:19" ht="39" customHeight="1">
      <c r="A676" s="50" t="s">
        <v>161</v>
      </c>
      <c r="B676" s="24" t="s">
        <v>110</v>
      </c>
      <c r="C676" s="24" t="s">
        <v>60</v>
      </c>
      <c r="D676" s="24" t="s">
        <v>249</v>
      </c>
      <c r="E676" s="24" t="s">
        <v>136</v>
      </c>
      <c r="F676" s="80"/>
      <c r="G676" s="44"/>
      <c r="H676" s="116">
        <v>3173520</v>
      </c>
      <c r="N676" s="116">
        <v>3173520</v>
      </c>
      <c r="O676" s="116"/>
      <c r="P676" s="116">
        <f>N676+O676</f>
        <v>3173520</v>
      </c>
      <c r="Q676" s="116">
        <v>3173520</v>
      </c>
      <c r="R676" s="102"/>
      <c r="S676" s="116">
        <f>Q676+R676</f>
        <v>3173520</v>
      </c>
    </row>
    <row r="677" spans="1:19" ht="23.25" customHeight="1">
      <c r="A677" s="54" t="s">
        <v>250</v>
      </c>
      <c r="B677" s="24" t="s">
        <v>110</v>
      </c>
      <c r="C677" s="24" t="s">
        <v>60</v>
      </c>
      <c r="D677" s="24" t="s">
        <v>251</v>
      </c>
      <c r="E677" s="24"/>
      <c r="F677" s="80"/>
      <c r="G677" s="44"/>
      <c r="H677" s="116">
        <f>H678</f>
        <v>1743480</v>
      </c>
      <c r="N677" s="116">
        <f>N678</f>
        <v>1743480</v>
      </c>
      <c r="O677" s="116"/>
      <c r="P677" s="116">
        <f>P678</f>
        <v>1743480</v>
      </c>
      <c r="Q677" s="116">
        <f>Q678</f>
        <v>1743480</v>
      </c>
      <c r="R677" s="102"/>
      <c r="S677" s="116">
        <f>S678</f>
        <v>1743480</v>
      </c>
    </row>
    <row r="678" spans="1:19" ht="32.25" customHeight="1">
      <c r="A678" s="50" t="s">
        <v>161</v>
      </c>
      <c r="B678" s="24" t="s">
        <v>110</v>
      </c>
      <c r="C678" s="24" t="s">
        <v>60</v>
      </c>
      <c r="D678" s="24" t="s">
        <v>251</v>
      </c>
      <c r="E678" s="24" t="s">
        <v>136</v>
      </c>
      <c r="F678" s="80"/>
      <c r="G678" s="44"/>
      <c r="H678" s="116">
        <v>1743480</v>
      </c>
      <c r="N678" s="116">
        <v>1743480</v>
      </c>
      <c r="O678" s="116"/>
      <c r="P678" s="116">
        <f>N678+O678</f>
        <v>1743480</v>
      </c>
      <c r="Q678" s="116">
        <v>1743480</v>
      </c>
      <c r="R678" s="102"/>
      <c r="S678" s="116">
        <f>Q678+R678</f>
        <v>1743480</v>
      </c>
    </row>
    <row r="679" spans="1:19" ht="27.75" customHeight="1">
      <c r="A679" s="54" t="s">
        <v>252</v>
      </c>
      <c r="B679" s="24" t="s">
        <v>110</v>
      </c>
      <c r="C679" s="24" t="s">
        <v>60</v>
      </c>
      <c r="D679" s="24" t="s">
        <v>253</v>
      </c>
      <c r="E679" s="24"/>
      <c r="F679" s="80"/>
      <c r="G679" s="44"/>
      <c r="H679" s="116">
        <f>H680</f>
        <v>100000</v>
      </c>
      <c r="N679" s="116">
        <f>N680</f>
        <v>100000</v>
      </c>
      <c r="O679" s="116"/>
      <c r="P679" s="116">
        <f>P680</f>
        <v>100000</v>
      </c>
      <c r="Q679" s="116">
        <f>Q680</f>
        <v>100000</v>
      </c>
      <c r="R679" s="102"/>
      <c r="S679" s="116">
        <f>S680</f>
        <v>100000</v>
      </c>
    </row>
    <row r="680" spans="1:19" ht="37.5" customHeight="1">
      <c r="A680" s="50" t="s">
        <v>161</v>
      </c>
      <c r="B680" s="24" t="s">
        <v>110</v>
      </c>
      <c r="C680" s="24" t="s">
        <v>60</v>
      </c>
      <c r="D680" s="24" t="s">
        <v>253</v>
      </c>
      <c r="E680" s="24" t="s">
        <v>136</v>
      </c>
      <c r="F680" s="80"/>
      <c r="G680" s="44"/>
      <c r="H680" s="116">
        <v>100000</v>
      </c>
      <c r="N680" s="116">
        <v>100000</v>
      </c>
      <c r="O680" s="116"/>
      <c r="P680" s="116">
        <f>N680+O680</f>
        <v>100000</v>
      </c>
      <c r="Q680" s="116">
        <v>100000</v>
      </c>
      <c r="R680" s="102"/>
      <c r="S680" s="116">
        <f>Q680+R680</f>
        <v>100000</v>
      </c>
    </row>
    <row r="681" spans="1:19" ht="47.25">
      <c r="A681" s="50" t="s">
        <v>254</v>
      </c>
      <c r="B681" s="24" t="s">
        <v>110</v>
      </c>
      <c r="C681" s="24" t="s">
        <v>60</v>
      </c>
      <c r="D681" s="24" t="s">
        <v>255</v>
      </c>
      <c r="E681" s="24"/>
      <c r="F681" s="80"/>
      <c r="G681" s="44"/>
      <c r="H681" s="116">
        <f>H682</f>
        <v>6931200</v>
      </c>
      <c r="N681" s="116">
        <f>N682</f>
        <v>3931200</v>
      </c>
      <c r="O681" s="116"/>
      <c r="P681" s="116">
        <f>P682</f>
        <v>3931200</v>
      </c>
      <c r="Q681" s="116">
        <f>Q682</f>
        <v>3931200</v>
      </c>
      <c r="R681" s="102"/>
      <c r="S681" s="116">
        <f>S682</f>
        <v>3931200</v>
      </c>
    </row>
    <row r="682" spans="1:19" ht="40.5" customHeight="1">
      <c r="A682" s="41" t="s">
        <v>521</v>
      </c>
      <c r="B682" s="24" t="s">
        <v>110</v>
      </c>
      <c r="C682" s="24" t="s">
        <v>60</v>
      </c>
      <c r="D682" s="24" t="s">
        <v>256</v>
      </c>
      <c r="E682" s="24"/>
      <c r="F682" s="80"/>
      <c r="G682" s="44"/>
      <c r="H682" s="116">
        <f>H683+H686</f>
        <v>6931200</v>
      </c>
      <c r="N682" s="116">
        <f>N683+N686</f>
        <v>3931200</v>
      </c>
      <c r="O682" s="116"/>
      <c r="P682" s="116">
        <f>P683+P686</f>
        <v>3931200</v>
      </c>
      <c r="Q682" s="116">
        <f>Q683+Q686</f>
        <v>3931200</v>
      </c>
      <c r="R682" s="102"/>
      <c r="S682" s="116">
        <f>S683+S686</f>
        <v>3931200</v>
      </c>
    </row>
    <row r="683" spans="1:19" ht="37.5" customHeight="1">
      <c r="A683" s="33" t="s">
        <v>257</v>
      </c>
      <c r="B683" s="24" t="s">
        <v>110</v>
      </c>
      <c r="C683" s="24" t="s">
        <v>60</v>
      </c>
      <c r="D683" s="24" t="s">
        <v>258</v>
      </c>
      <c r="E683" s="24"/>
      <c r="F683" s="80"/>
      <c r="G683" s="44"/>
      <c r="H683" s="116">
        <f>H684</f>
        <v>6000000</v>
      </c>
      <c r="N683" s="116">
        <f>N684</f>
        <v>3000000</v>
      </c>
      <c r="O683" s="116"/>
      <c r="P683" s="116">
        <f>P684+P685</f>
        <v>2197200</v>
      </c>
      <c r="Q683" s="116">
        <f>Q684</f>
        <v>3000000</v>
      </c>
      <c r="R683" s="102"/>
      <c r="S683" s="116">
        <f>S684+S685</f>
        <v>2197200</v>
      </c>
    </row>
    <row r="684" spans="1:19" ht="54.75" customHeight="1">
      <c r="A684" s="50" t="s">
        <v>259</v>
      </c>
      <c r="B684" s="24" t="s">
        <v>110</v>
      </c>
      <c r="C684" s="24" t="s">
        <v>60</v>
      </c>
      <c r="D684" s="24" t="s">
        <v>258</v>
      </c>
      <c r="E684" s="24" t="s">
        <v>162</v>
      </c>
      <c r="F684" s="180"/>
      <c r="G684" s="181"/>
      <c r="H684" s="182">
        <v>6000000</v>
      </c>
      <c r="I684" s="183"/>
      <c r="J684" s="183"/>
      <c r="K684" s="183"/>
      <c r="L684" s="183"/>
      <c r="M684" s="183"/>
      <c r="N684" s="116">
        <v>3000000</v>
      </c>
      <c r="O684" s="116">
        <f>-3000000</f>
        <v>-3000000</v>
      </c>
      <c r="P684" s="116">
        <f>N684+O684</f>
        <v>0</v>
      </c>
      <c r="Q684" s="116">
        <v>3000000</v>
      </c>
      <c r="R684" s="102">
        <f>-3000000</f>
        <v>-3000000</v>
      </c>
      <c r="S684" s="116">
        <f>Q684+R684</f>
        <v>0</v>
      </c>
    </row>
    <row r="685" spans="1:19" ht="39" customHeight="1">
      <c r="A685" s="50" t="s">
        <v>522</v>
      </c>
      <c r="B685" s="24"/>
      <c r="C685" s="24" t="s">
        <v>60</v>
      </c>
      <c r="D685" s="24" t="s">
        <v>258</v>
      </c>
      <c r="E685" s="24" t="s">
        <v>523</v>
      </c>
      <c r="F685" s="180"/>
      <c r="G685" s="181"/>
      <c r="H685" s="182"/>
      <c r="I685" s="183"/>
      <c r="J685" s="183"/>
      <c r="K685" s="183"/>
      <c r="L685" s="183"/>
      <c r="M685" s="183"/>
      <c r="N685" s="116"/>
      <c r="O685" s="116">
        <f>3000000-802800</f>
        <v>2197200</v>
      </c>
      <c r="P685" s="116">
        <f>N685+O685</f>
        <v>2197200</v>
      </c>
      <c r="Q685" s="116"/>
      <c r="R685" s="102">
        <f>3000000-802800</f>
        <v>2197200</v>
      </c>
      <c r="S685" s="116">
        <f>Q685+R685</f>
        <v>2197200</v>
      </c>
    </row>
    <row r="686" spans="1:19" ht="31.5" customHeight="1">
      <c r="A686" s="33" t="s">
        <v>260</v>
      </c>
      <c r="B686" s="24" t="s">
        <v>110</v>
      </c>
      <c r="C686" s="24" t="s">
        <v>60</v>
      </c>
      <c r="D686" s="24" t="s">
        <v>261</v>
      </c>
      <c r="E686" s="24"/>
      <c r="F686" s="80"/>
      <c r="G686" s="44"/>
      <c r="H686" s="116">
        <f>H687</f>
        <v>931200</v>
      </c>
      <c r="N686" s="116">
        <f>N687</f>
        <v>931200</v>
      </c>
      <c r="O686" s="116"/>
      <c r="P686" s="116">
        <f>P687+P688</f>
        <v>1734000</v>
      </c>
      <c r="Q686" s="116">
        <f>Q687</f>
        <v>931200</v>
      </c>
      <c r="R686" s="102"/>
      <c r="S686" s="116">
        <f>S687+S688</f>
        <v>1734000</v>
      </c>
    </row>
    <row r="687" spans="1:19" ht="39" customHeight="1">
      <c r="A687" s="50" t="s">
        <v>259</v>
      </c>
      <c r="B687" s="24" t="s">
        <v>110</v>
      </c>
      <c r="C687" s="24" t="s">
        <v>60</v>
      </c>
      <c r="D687" s="24" t="s">
        <v>261</v>
      </c>
      <c r="E687" s="24" t="s">
        <v>162</v>
      </c>
      <c r="F687" s="80"/>
      <c r="G687" s="44"/>
      <c r="H687" s="116">
        <v>931200</v>
      </c>
      <c r="N687" s="116">
        <v>931200</v>
      </c>
      <c r="O687" s="116">
        <f>-931200</f>
        <v>-931200</v>
      </c>
      <c r="P687" s="116">
        <f>N687+O687</f>
        <v>0</v>
      </c>
      <c r="Q687" s="116">
        <v>931200</v>
      </c>
      <c r="R687" s="102">
        <f>-931200</f>
        <v>-931200</v>
      </c>
      <c r="S687" s="116">
        <f>Q687+R687</f>
        <v>0</v>
      </c>
    </row>
    <row r="688" spans="1:19" ht="39" customHeight="1">
      <c r="A688" s="50" t="s">
        <v>522</v>
      </c>
      <c r="B688" s="24"/>
      <c r="C688" s="24" t="s">
        <v>60</v>
      </c>
      <c r="D688" s="24" t="s">
        <v>261</v>
      </c>
      <c r="E688" s="24" t="s">
        <v>523</v>
      </c>
      <c r="F688" s="80"/>
      <c r="G688" s="44"/>
      <c r="H688" s="116"/>
      <c r="N688" s="116"/>
      <c r="O688" s="116">
        <f>931200+802800</f>
        <v>1734000</v>
      </c>
      <c r="P688" s="116">
        <f>N688+O688</f>
        <v>1734000</v>
      </c>
      <c r="Q688" s="116"/>
      <c r="R688" s="102">
        <f>931200+802800</f>
        <v>1734000</v>
      </c>
      <c r="S688" s="116">
        <f>Q688+R688</f>
        <v>1734000</v>
      </c>
    </row>
    <row r="689" spans="1:19" ht="23.25" customHeight="1">
      <c r="A689" s="41" t="s">
        <v>62</v>
      </c>
      <c r="B689" s="24" t="s">
        <v>110</v>
      </c>
      <c r="C689" s="24" t="s">
        <v>61</v>
      </c>
      <c r="D689" s="24"/>
      <c r="E689" s="24"/>
      <c r="F689" s="148" t="e">
        <f>F690+F697+#REF!</f>
        <v>#REF!</v>
      </c>
      <c r="G689" s="18"/>
      <c r="H689" s="116">
        <f>H690</f>
        <v>10437000</v>
      </c>
      <c r="N689" s="116">
        <f>N690</f>
        <v>10437000</v>
      </c>
      <c r="O689" s="116"/>
      <c r="P689" s="116">
        <f>P690</f>
        <v>10437000</v>
      </c>
      <c r="Q689" s="116">
        <f>Q690</f>
        <v>10437000</v>
      </c>
      <c r="R689" s="102"/>
      <c r="S689" s="116">
        <f>S690</f>
        <v>10437000</v>
      </c>
    </row>
    <row r="690" spans="1:19" ht="40.5" customHeight="1">
      <c r="A690" s="52" t="s">
        <v>262</v>
      </c>
      <c r="B690" s="24" t="s">
        <v>110</v>
      </c>
      <c r="C690" s="24" t="s">
        <v>61</v>
      </c>
      <c r="D690" s="24" t="s">
        <v>263</v>
      </c>
      <c r="E690" s="24"/>
      <c r="F690" s="148" t="e">
        <f>F691+#REF!+F693+F695</f>
        <v>#REF!</v>
      </c>
      <c r="G690" s="18"/>
      <c r="H690" s="116">
        <f>H691+H693+H695+H697</f>
        <v>10437000</v>
      </c>
      <c r="N690" s="116">
        <f>N691+N693+N695+N697</f>
        <v>10437000</v>
      </c>
      <c r="O690" s="116"/>
      <c r="P690" s="116">
        <f>P691+P693+P695+P697</f>
        <v>10437000</v>
      </c>
      <c r="Q690" s="116">
        <f>Q691+Q693+Q695+Q697</f>
        <v>10437000</v>
      </c>
      <c r="R690" s="102"/>
      <c r="S690" s="116">
        <f>S691+S693+S695+S697</f>
        <v>10437000</v>
      </c>
    </row>
    <row r="691" spans="1:19" ht="33.75" customHeight="1">
      <c r="A691" s="51" t="s">
        <v>264</v>
      </c>
      <c r="B691" s="24" t="s">
        <v>110</v>
      </c>
      <c r="C691" s="24" t="s">
        <v>61</v>
      </c>
      <c r="D691" s="24" t="s">
        <v>265</v>
      </c>
      <c r="E691" s="24"/>
      <c r="F691" s="148">
        <f>F692</f>
        <v>0</v>
      </c>
      <c r="G691" s="18"/>
      <c r="H691" s="116">
        <f>H692</f>
        <v>6449000</v>
      </c>
      <c r="N691" s="116">
        <f>N692</f>
        <v>6449000</v>
      </c>
      <c r="O691" s="116"/>
      <c r="P691" s="116">
        <f>P692</f>
        <v>6449000</v>
      </c>
      <c r="Q691" s="116">
        <f>Q692</f>
        <v>6449000</v>
      </c>
      <c r="R691" s="102"/>
      <c r="S691" s="116">
        <f>S692</f>
        <v>6449000</v>
      </c>
    </row>
    <row r="692" spans="1:19" ht="36" customHeight="1">
      <c r="A692" s="50" t="s">
        <v>161</v>
      </c>
      <c r="B692" s="24" t="s">
        <v>110</v>
      </c>
      <c r="C692" s="24" t="s">
        <v>61</v>
      </c>
      <c r="D692" s="24" t="s">
        <v>265</v>
      </c>
      <c r="E692" s="24" t="s">
        <v>136</v>
      </c>
      <c r="F692" s="80">
        <v>0</v>
      </c>
      <c r="G692" s="35">
        <v>6317400</v>
      </c>
      <c r="H692" s="116">
        <v>6449000</v>
      </c>
      <c r="N692" s="116">
        <v>6449000</v>
      </c>
      <c r="O692" s="116"/>
      <c r="P692" s="116">
        <f aca="true" t="shared" si="73" ref="P692:P698">N692+O692</f>
        <v>6449000</v>
      </c>
      <c r="Q692" s="116">
        <v>6449000</v>
      </c>
      <c r="R692" s="102"/>
      <c r="S692" s="116">
        <f aca="true" t="shared" si="74" ref="S692:S698">Q692+R692</f>
        <v>6449000</v>
      </c>
    </row>
    <row r="693" spans="1:19" ht="24" customHeight="1">
      <c r="A693" s="52" t="s">
        <v>266</v>
      </c>
      <c r="B693" s="24" t="s">
        <v>110</v>
      </c>
      <c r="C693" s="24" t="s">
        <v>61</v>
      </c>
      <c r="D693" s="24" t="s">
        <v>267</v>
      </c>
      <c r="E693" s="24"/>
      <c r="F693" s="80">
        <f>F694</f>
        <v>0</v>
      </c>
      <c r="G693" s="24"/>
      <c r="H693" s="116">
        <f>H694</f>
        <v>500000</v>
      </c>
      <c r="N693" s="116">
        <f>N694</f>
        <v>500000</v>
      </c>
      <c r="O693" s="116"/>
      <c r="P693" s="116">
        <f>P694</f>
        <v>500000</v>
      </c>
      <c r="Q693" s="116">
        <f>Q694</f>
        <v>500000</v>
      </c>
      <c r="R693" s="102"/>
      <c r="S693" s="116">
        <f>S694</f>
        <v>500000</v>
      </c>
    </row>
    <row r="694" spans="1:19" ht="34.5" customHeight="1">
      <c r="A694" s="50" t="s">
        <v>161</v>
      </c>
      <c r="B694" s="24" t="s">
        <v>110</v>
      </c>
      <c r="C694" s="24" t="s">
        <v>61</v>
      </c>
      <c r="D694" s="24" t="s">
        <v>267</v>
      </c>
      <c r="E694" s="24" t="s">
        <v>136</v>
      </c>
      <c r="F694" s="80">
        <v>0</v>
      </c>
      <c r="G694" s="24" t="s">
        <v>268</v>
      </c>
      <c r="H694" s="116">
        <v>500000</v>
      </c>
      <c r="N694" s="116">
        <v>500000</v>
      </c>
      <c r="O694" s="116"/>
      <c r="P694" s="116">
        <f t="shared" si="73"/>
        <v>500000</v>
      </c>
      <c r="Q694" s="116">
        <v>500000</v>
      </c>
      <c r="R694" s="102"/>
      <c r="S694" s="116">
        <f t="shared" si="74"/>
        <v>500000</v>
      </c>
    </row>
    <row r="695" spans="1:19" ht="32.25" customHeight="1">
      <c r="A695" s="52" t="s">
        <v>269</v>
      </c>
      <c r="B695" s="24" t="s">
        <v>110</v>
      </c>
      <c r="C695" s="24" t="s">
        <v>61</v>
      </c>
      <c r="D695" s="24" t="s">
        <v>270</v>
      </c>
      <c r="E695" s="24"/>
      <c r="F695" s="80">
        <f>F696</f>
        <v>0</v>
      </c>
      <c r="G695" s="24"/>
      <c r="H695" s="116">
        <f>H696</f>
        <v>238000</v>
      </c>
      <c r="N695" s="116">
        <f>N696</f>
        <v>238000</v>
      </c>
      <c r="O695" s="116"/>
      <c r="P695" s="116">
        <f>P696</f>
        <v>238000</v>
      </c>
      <c r="Q695" s="116">
        <f>Q696</f>
        <v>238000</v>
      </c>
      <c r="R695" s="102"/>
      <c r="S695" s="116">
        <f>S696</f>
        <v>238000</v>
      </c>
    </row>
    <row r="696" spans="1:19" ht="31.5">
      <c r="A696" s="50" t="s">
        <v>161</v>
      </c>
      <c r="B696" s="24">
        <v>901</v>
      </c>
      <c r="C696" s="24" t="s">
        <v>61</v>
      </c>
      <c r="D696" s="24" t="s">
        <v>270</v>
      </c>
      <c r="E696" s="24" t="s">
        <v>136</v>
      </c>
      <c r="F696" s="80">
        <v>0</v>
      </c>
      <c r="G696" s="35">
        <v>3820000</v>
      </c>
      <c r="H696" s="116">
        <v>238000</v>
      </c>
      <c r="N696" s="116">
        <v>238000</v>
      </c>
      <c r="O696" s="116"/>
      <c r="P696" s="116">
        <f t="shared" si="73"/>
        <v>238000</v>
      </c>
      <c r="Q696" s="116">
        <v>238000</v>
      </c>
      <c r="R696" s="102"/>
      <c r="S696" s="116">
        <f t="shared" si="74"/>
        <v>238000</v>
      </c>
    </row>
    <row r="697" spans="1:19" ht="25.5" customHeight="1">
      <c r="A697" s="54" t="s">
        <v>271</v>
      </c>
      <c r="B697" s="31" t="s">
        <v>110</v>
      </c>
      <c r="C697" s="31" t="s">
        <v>61</v>
      </c>
      <c r="D697" s="31" t="s">
        <v>272</v>
      </c>
      <c r="E697" s="31"/>
      <c r="F697" s="153" t="e">
        <f>#REF!+F698</f>
        <v>#REF!</v>
      </c>
      <c r="G697" s="31"/>
      <c r="H697" s="115">
        <f>H698</f>
        <v>3250000</v>
      </c>
      <c r="N697" s="115">
        <f>N698</f>
        <v>3250000</v>
      </c>
      <c r="O697" s="115"/>
      <c r="P697" s="115">
        <f>P698</f>
        <v>3250000</v>
      </c>
      <c r="Q697" s="115">
        <f>Q698</f>
        <v>3250000</v>
      </c>
      <c r="R697" s="102"/>
      <c r="S697" s="115">
        <f>S698</f>
        <v>3250000</v>
      </c>
    </row>
    <row r="698" spans="1:19" ht="36.75" customHeight="1">
      <c r="A698" s="50" t="s">
        <v>161</v>
      </c>
      <c r="B698" s="31" t="s">
        <v>110</v>
      </c>
      <c r="C698" s="31" t="s">
        <v>61</v>
      </c>
      <c r="D698" s="31" t="s">
        <v>272</v>
      </c>
      <c r="E698" s="31" t="s">
        <v>136</v>
      </c>
      <c r="F698" s="153" t="e">
        <f>#REF!+#REF!</f>
        <v>#REF!</v>
      </c>
      <c r="G698" s="31"/>
      <c r="H698" s="115">
        <v>3250000</v>
      </c>
      <c r="N698" s="115">
        <v>3250000</v>
      </c>
      <c r="O698" s="115"/>
      <c r="P698" s="116">
        <f t="shared" si="73"/>
        <v>3250000</v>
      </c>
      <c r="Q698" s="115">
        <v>3250000</v>
      </c>
      <c r="R698" s="102"/>
      <c r="S698" s="116">
        <f t="shared" si="74"/>
        <v>3250000</v>
      </c>
    </row>
    <row r="699" spans="1:19" ht="33" customHeight="1">
      <c r="A699" s="41" t="s">
        <v>63</v>
      </c>
      <c r="B699" s="24" t="s">
        <v>110</v>
      </c>
      <c r="C699" s="24" t="s">
        <v>64</v>
      </c>
      <c r="D699" s="24"/>
      <c r="E699" s="24"/>
      <c r="F699" s="80" t="e">
        <f>F700+#REF!</f>
        <v>#REF!</v>
      </c>
      <c r="G699" s="24"/>
      <c r="H699" s="116">
        <f>H700</f>
        <v>300000</v>
      </c>
      <c r="N699" s="116">
        <f>N700</f>
        <v>0</v>
      </c>
      <c r="O699" s="116"/>
      <c r="P699" s="116">
        <f>P700</f>
        <v>0</v>
      </c>
      <c r="Q699" s="116">
        <f>Q700</f>
        <v>0</v>
      </c>
      <c r="R699" s="102"/>
      <c r="S699" s="116">
        <f>S700</f>
        <v>0</v>
      </c>
    </row>
    <row r="700" spans="1:19" ht="63" customHeight="1">
      <c r="A700" s="52" t="s">
        <v>273</v>
      </c>
      <c r="B700" s="24" t="s">
        <v>110</v>
      </c>
      <c r="C700" s="24" t="s">
        <v>64</v>
      </c>
      <c r="D700" s="24" t="s">
        <v>274</v>
      </c>
      <c r="E700" s="24"/>
      <c r="F700" s="80">
        <f>F701</f>
        <v>0</v>
      </c>
      <c r="G700" s="24"/>
      <c r="H700" s="116">
        <f>H701</f>
        <v>300000</v>
      </c>
      <c r="N700" s="116">
        <f>N701</f>
        <v>0</v>
      </c>
      <c r="O700" s="116"/>
      <c r="P700" s="116">
        <f>P701</f>
        <v>0</v>
      </c>
      <c r="Q700" s="116">
        <f>Q701</f>
        <v>0</v>
      </c>
      <c r="R700" s="102"/>
      <c r="S700" s="116">
        <f>S701</f>
        <v>0</v>
      </c>
    </row>
    <row r="701" spans="1:19" ht="36.75" customHeight="1">
      <c r="A701" s="54" t="s">
        <v>275</v>
      </c>
      <c r="B701" s="24" t="s">
        <v>110</v>
      </c>
      <c r="C701" s="24" t="s">
        <v>64</v>
      </c>
      <c r="D701" s="24" t="s">
        <v>276</v>
      </c>
      <c r="E701" s="24"/>
      <c r="F701" s="80">
        <v>0</v>
      </c>
      <c r="G701" s="24" t="s">
        <v>172</v>
      </c>
      <c r="H701" s="116">
        <f>F701+G701</f>
        <v>300000</v>
      </c>
      <c r="N701" s="116">
        <f>L701+M701</f>
        <v>0</v>
      </c>
      <c r="O701" s="116"/>
      <c r="P701" s="116">
        <f>N701+O701</f>
        <v>0</v>
      </c>
      <c r="Q701" s="116">
        <f>M701+N701</f>
        <v>0</v>
      </c>
      <c r="R701" s="102"/>
      <c r="S701" s="116">
        <f>Q701+R701</f>
        <v>0</v>
      </c>
    </row>
    <row r="702" spans="1:19" ht="53.25" customHeight="1">
      <c r="A702" s="53" t="s">
        <v>277</v>
      </c>
      <c r="B702" s="24" t="s">
        <v>110</v>
      </c>
      <c r="C702" s="24" t="s">
        <v>64</v>
      </c>
      <c r="D702" s="24" t="s">
        <v>276</v>
      </c>
      <c r="E702" s="24" t="s">
        <v>151</v>
      </c>
      <c r="F702" s="80"/>
      <c r="G702" s="24"/>
      <c r="H702" s="116">
        <v>300000</v>
      </c>
      <c r="N702" s="116">
        <v>0</v>
      </c>
      <c r="O702" s="116"/>
      <c r="P702" s="116">
        <f>N702+O702</f>
        <v>0</v>
      </c>
      <c r="Q702" s="116">
        <v>0</v>
      </c>
      <c r="R702" s="102"/>
      <c r="S702" s="116">
        <f>Q702+R702</f>
        <v>0</v>
      </c>
    </row>
    <row r="703" spans="1:19" ht="27.75" customHeight="1">
      <c r="A703" s="98" t="s">
        <v>65</v>
      </c>
      <c r="B703" s="87" t="s">
        <v>66</v>
      </c>
      <c r="C703" s="90" t="s">
        <v>66</v>
      </c>
      <c r="D703" s="87"/>
      <c r="E703" s="87"/>
      <c r="F703" s="147"/>
      <c r="G703" s="88"/>
      <c r="H703" s="120">
        <f>H704+H709</f>
        <v>1192000</v>
      </c>
      <c r="N703" s="120">
        <f>N704+N709</f>
        <v>1304100</v>
      </c>
      <c r="O703" s="120"/>
      <c r="P703" s="120">
        <f>P704+P709</f>
        <v>1304100</v>
      </c>
      <c r="Q703" s="120">
        <f>Q704+Q709</f>
        <v>1369305</v>
      </c>
      <c r="R703" s="102"/>
      <c r="S703" s="120">
        <f>S704+S709</f>
        <v>1369305</v>
      </c>
    </row>
    <row r="704" spans="1:19" ht="21.75" customHeight="1">
      <c r="A704" s="86" t="s">
        <v>176</v>
      </c>
      <c r="B704" s="87"/>
      <c r="C704" s="40" t="s">
        <v>111</v>
      </c>
      <c r="D704" s="87"/>
      <c r="E704" s="87"/>
      <c r="F704" s="147"/>
      <c r="G704" s="88"/>
      <c r="H704" s="120">
        <f>H705</f>
        <v>100000</v>
      </c>
      <c r="N704" s="120">
        <f aca="true" t="shared" si="75" ref="N704:S707">N705</f>
        <v>100000</v>
      </c>
      <c r="O704" s="120"/>
      <c r="P704" s="120">
        <f t="shared" si="75"/>
        <v>100000</v>
      </c>
      <c r="Q704" s="120">
        <f t="shared" si="75"/>
        <v>100000</v>
      </c>
      <c r="R704" s="102"/>
      <c r="S704" s="120">
        <f t="shared" si="75"/>
        <v>100000</v>
      </c>
    </row>
    <row r="705" spans="1:19" ht="63">
      <c r="A705" s="163" t="s">
        <v>433</v>
      </c>
      <c r="B705" s="14"/>
      <c r="C705" s="40" t="s">
        <v>111</v>
      </c>
      <c r="D705" s="40" t="s">
        <v>112</v>
      </c>
      <c r="E705" s="40"/>
      <c r="F705" s="147"/>
      <c r="G705" s="40"/>
      <c r="H705" s="121">
        <f>H706</f>
        <v>100000</v>
      </c>
      <c r="N705" s="121">
        <f t="shared" si="75"/>
        <v>100000</v>
      </c>
      <c r="O705" s="121"/>
      <c r="P705" s="121">
        <f t="shared" si="75"/>
        <v>100000</v>
      </c>
      <c r="Q705" s="121">
        <f t="shared" si="75"/>
        <v>100000</v>
      </c>
      <c r="R705" s="102"/>
      <c r="S705" s="121">
        <f t="shared" si="75"/>
        <v>100000</v>
      </c>
    </row>
    <row r="706" spans="1:19" ht="47.25">
      <c r="A706" s="91" t="s">
        <v>460</v>
      </c>
      <c r="B706" s="14"/>
      <c r="C706" s="40" t="s">
        <v>111</v>
      </c>
      <c r="D706" s="40" t="s">
        <v>0</v>
      </c>
      <c r="E706" s="40"/>
      <c r="F706" s="147"/>
      <c r="G706" s="40"/>
      <c r="H706" s="121">
        <f>H707</f>
        <v>100000</v>
      </c>
      <c r="N706" s="121">
        <f t="shared" si="75"/>
        <v>100000</v>
      </c>
      <c r="O706" s="121"/>
      <c r="P706" s="121">
        <f t="shared" si="75"/>
        <v>100000</v>
      </c>
      <c r="Q706" s="121">
        <f t="shared" si="75"/>
        <v>100000</v>
      </c>
      <c r="R706" s="102"/>
      <c r="S706" s="121">
        <f t="shared" si="75"/>
        <v>100000</v>
      </c>
    </row>
    <row r="707" spans="1:19" ht="31.5">
      <c r="A707" s="91" t="s">
        <v>26</v>
      </c>
      <c r="B707" s="14"/>
      <c r="C707" s="40" t="s">
        <v>111</v>
      </c>
      <c r="D707" s="40" t="s">
        <v>27</v>
      </c>
      <c r="E707" s="40"/>
      <c r="F707" s="147"/>
      <c r="G707" s="40"/>
      <c r="H707" s="121">
        <f>H708</f>
        <v>100000</v>
      </c>
      <c r="N707" s="121">
        <f t="shared" si="75"/>
        <v>100000</v>
      </c>
      <c r="O707" s="121"/>
      <c r="P707" s="121">
        <f t="shared" si="75"/>
        <v>100000</v>
      </c>
      <c r="Q707" s="121">
        <f t="shared" si="75"/>
        <v>100000</v>
      </c>
      <c r="R707" s="102"/>
      <c r="S707" s="121">
        <f t="shared" si="75"/>
        <v>100000</v>
      </c>
    </row>
    <row r="708" spans="1:19" ht="31.5">
      <c r="A708" s="96" t="s">
        <v>161</v>
      </c>
      <c r="B708" s="14"/>
      <c r="C708" s="40" t="s">
        <v>111</v>
      </c>
      <c r="D708" s="40" t="s">
        <v>27</v>
      </c>
      <c r="E708" s="40" t="s">
        <v>136</v>
      </c>
      <c r="F708" s="147"/>
      <c r="G708" s="40"/>
      <c r="H708" s="121">
        <v>100000</v>
      </c>
      <c r="N708" s="121">
        <v>100000</v>
      </c>
      <c r="O708" s="121"/>
      <c r="P708" s="116">
        <f>N708+O708</f>
        <v>100000</v>
      </c>
      <c r="Q708" s="121">
        <v>100000</v>
      </c>
      <c r="R708" s="102"/>
      <c r="S708" s="116">
        <f>Q708+R708</f>
        <v>100000</v>
      </c>
    </row>
    <row r="709" spans="1:19" ht="31.5">
      <c r="A709" s="86" t="s">
        <v>67</v>
      </c>
      <c r="B709" s="87"/>
      <c r="C709" s="87" t="s">
        <v>68</v>
      </c>
      <c r="D709" s="87"/>
      <c r="E709" s="87"/>
      <c r="F709" s="147"/>
      <c r="G709" s="88"/>
      <c r="H709" s="120">
        <f>H712</f>
        <v>1092000</v>
      </c>
      <c r="N709" s="120">
        <f>N712</f>
        <v>1204100</v>
      </c>
      <c r="O709" s="120"/>
      <c r="P709" s="120">
        <f>P712</f>
        <v>1204100</v>
      </c>
      <c r="Q709" s="120">
        <f>Q712</f>
        <v>1269305</v>
      </c>
      <c r="R709" s="102"/>
      <c r="S709" s="120">
        <f>S712</f>
        <v>1269305</v>
      </c>
    </row>
    <row r="710" spans="1:19" ht="63">
      <c r="A710" s="85" t="s">
        <v>433</v>
      </c>
      <c r="B710" s="14"/>
      <c r="C710" s="40" t="s">
        <v>68</v>
      </c>
      <c r="D710" s="40" t="s">
        <v>112</v>
      </c>
      <c r="E710" s="40"/>
      <c r="F710" s="151" t="e">
        <f>#REF!</f>
        <v>#REF!</v>
      </c>
      <c r="G710" s="40"/>
      <c r="H710" s="121">
        <f>H711</f>
        <v>1092000</v>
      </c>
      <c r="N710" s="121">
        <f aca="true" t="shared" si="76" ref="N710:S712">N711</f>
        <v>1204100</v>
      </c>
      <c r="O710" s="121"/>
      <c r="P710" s="121">
        <f t="shared" si="76"/>
        <v>1204100</v>
      </c>
      <c r="Q710" s="121">
        <f t="shared" si="76"/>
        <v>1269305</v>
      </c>
      <c r="R710" s="102"/>
      <c r="S710" s="121">
        <f t="shared" si="76"/>
        <v>1269305</v>
      </c>
    </row>
    <row r="711" spans="1:19" ht="47.25">
      <c r="A711" s="91" t="s">
        <v>460</v>
      </c>
      <c r="B711" s="14"/>
      <c r="C711" s="40" t="s">
        <v>68</v>
      </c>
      <c r="D711" s="40" t="s">
        <v>0</v>
      </c>
      <c r="E711" s="40"/>
      <c r="F711" s="151"/>
      <c r="G711" s="40"/>
      <c r="H711" s="121">
        <f>H712</f>
        <v>1092000</v>
      </c>
      <c r="N711" s="121">
        <f t="shared" si="76"/>
        <v>1204100</v>
      </c>
      <c r="O711" s="121"/>
      <c r="P711" s="121">
        <f t="shared" si="76"/>
        <v>1204100</v>
      </c>
      <c r="Q711" s="121">
        <f t="shared" si="76"/>
        <v>1269305</v>
      </c>
      <c r="R711" s="102"/>
      <c r="S711" s="121">
        <f t="shared" si="76"/>
        <v>1269305</v>
      </c>
    </row>
    <row r="712" spans="1:19" ht="31.5">
      <c r="A712" s="91" t="s">
        <v>26</v>
      </c>
      <c r="B712" s="14"/>
      <c r="C712" s="40" t="s">
        <v>68</v>
      </c>
      <c r="D712" s="40" t="s">
        <v>27</v>
      </c>
      <c r="E712" s="40"/>
      <c r="F712" s="151"/>
      <c r="G712" s="40"/>
      <c r="H712" s="121">
        <f>H713</f>
        <v>1092000</v>
      </c>
      <c r="N712" s="121">
        <f t="shared" si="76"/>
        <v>1204100</v>
      </c>
      <c r="O712" s="121"/>
      <c r="P712" s="121">
        <f t="shared" si="76"/>
        <v>1204100</v>
      </c>
      <c r="Q712" s="121">
        <f t="shared" si="76"/>
        <v>1269305</v>
      </c>
      <c r="R712" s="102"/>
      <c r="S712" s="121">
        <f t="shared" si="76"/>
        <v>1269305</v>
      </c>
    </row>
    <row r="713" spans="1:19" ht="31.5">
      <c r="A713" s="96" t="s">
        <v>161</v>
      </c>
      <c r="B713" s="14"/>
      <c r="C713" s="40" t="s">
        <v>68</v>
      </c>
      <c r="D713" s="40" t="s">
        <v>27</v>
      </c>
      <c r="E713" s="40" t="s">
        <v>136</v>
      </c>
      <c r="F713" s="151">
        <v>0</v>
      </c>
      <c r="G713" s="93"/>
      <c r="H713" s="121">
        <v>1092000</v>
      </c>
      <c r="N713" s="121">
        <v>1204100</v>
      </c>
      <c r="O713" s="121"/>
      <c r="P713" s="116">
        <f>N713+O713</f>
        <v>1204100</v>
      </c>
      <c r="Q713" s="121">
        <v>1269305</v>
      </c>
      <c r="R713" s="102"/>
      <c r="S713" s="116">
        <f>Q713+R713</f>
        <v>1269305</v>
      </c>
    </row>
    <row r="714" spans="1:19" ht="24.75" customHeight="1">
      <c r="A714" s="56" t="s">
        <v>69</v>
      </c>
      <c r="B714" s="24" t="s">
        <v>116</v>
      </c>
      <c r="C714" s="24" t="s">
        <v>70</v>
      </c>
      <c r="D714" s="24"/>
      <c r="E714" s="24"/>
      <c r="F714" s="80" t="e">
        <f>F716+F731+F757+F792</f>
        <v>#REF!</v>
      </c>
      <c r="G714" s="24"/>
      <c r="H714" s="116" t="e">
        <f>H715+H811</f>
        <v>#REF!</v>
      </c>
      <c r="N714" s="116">
        <f>N715+N811</f>
        <v>267979300</v>
      </c>
      <c r="O714" s="116"/>
      <c r="P714" s="116">
        <f>P715+P811</f>
        <v>267479300</v>
      </c>
      <c r="Q714" s="116">
        <f>Q715+Q811</f>
        <v>269944985</v>
      </c>
      <c r="R714" s="102"/>
      <c r="S714" s="116">
        <f>S715+S811</f>
        <v>269444985</v>
      </c>
    </row>
    <row r="715" spans="1:19" ht="47.25">
      <c r="A715" s="56" t="s">
        <v>465</v>
      </c>
      <c r="B715" s="24" t="s">
        <v>116</v>
      </c>
      <c r="C715" s="24" t="s">
        <v>70</v>
      </c>
      <c r="D715" s="24" t="s">
        <v>125</v>
      </c>
      <c r="E715" s="24"/>
      <c r="F715" s="80"/>
      <c r="G715" s="24"/>
      <c r="H715" s="116">
        <f>H716+H731+H766+H792</f>
        <v>291787500</v>
      </c>
      <c r="N715" s="116">
        <f>N716+N731+N766+N792</f>
        <v>258878300</v>
      </c>
      <c r="O715" s="116"/>
      <c r="P715" s="116">
        <f>P716+P731+P766+P792</f>
        <v>258878300</v>
      </c>
      <c r="Q715" s="116">
        <f>Q716+Q731+Q766+Q792</f>
        <v>260843985</v>
      </c>
      <c r="R715" s="102"/>
      <c r="S715" s="116">
        <f>S716+S731+S766+S792</f>
        <v>260843985</v>
      </c>
    </row>
    <row r="716" spans="1:19" ht="22.5" customHeight="1">
      <c r="A716" s="41" t="s">
        <v>84</v>
      </c>
      <c r="B716" s="24" t="s">
        <v>116</v>
      </c>
      <c r="C716" s="24" t="s">
        <v>85</v>
      </c>
      <c r="D716" s="24"/>
      <c r="E716" s="24"/>
      <c r="F716" s="80" t="e">
        <f>#REF!+F727+#REF!+#REF!+#REF!</f>
        <v>#REF!</v>
      </c>
      <c r="G716" s="24"/>
      <c r="H716" s="116">
        <f>H717</f>
        <v>109580359</v>
      </c>
      <c r="N716" s="116">
        <f>N717</f>
        <v>79580359</v>
      </c>
      <c r="O716" s="116"/>
      <c r="P716" s="116">
        <f>P717</f>
        <v>79580359</v>
      </c>
      <c r="Q716" s="116">
        <f>Q717</f>
        <v>79580359</v>
      </c>
      <c r="R716" s="102"/>
      <c r="S716" s="116">
        <f>S717</f>
        <v>79580359</v>
      </c>
    </row>
    <row r="717" spans="1:19" ht="47.25">
      <c r="A717" s="41" t="s">
        <v>278</v>
      </c>
      <c r="B717" s="24" t="s">
        <v>116</v>
      </c>
      <c r="C717" s="24" t="s">
        <v>85</v>
      </c>
      <c r="D717" s="24" t="s">
        <v>279</v>
      </c>
      <c r="E717" s="24"/>
      <c r="F717" s="80" t="e">
        <f>#REF!+F718+F721+F722+#REF!+#REF!+F723</f>
        <v>#REF!</v>
      </c>
      <c r="G717" s="24"/>
      <c r="H717" s="116">
        <f>H718+H723+H725+H727+H729</f>
        <v>109580359</v>
      </c>
      <c r="I717" s="116">
        <f aca="true" t="shared" si="77" ref="I717:Q717">I718+I723+I725+I727+I729</f>
        <v>0</v>
      </c>
      <c r="J717" s="116">
        <f t="shared" si="77"/>
        <v>0</v>
      </c>
      <c r="K717" s="116">
        <f t="shared" si="77"/>
        <v>0</v>
      </c>
      <c r="L717" s="116">
        <f t="shared" si="77"/>
        <v>0</v>
      </c>
      <c r="M717" s="116">
        <f t="shared" si="77"/>
        <v>0</v>
      </c>
      <c r="N717" s="116">
        <f t="shared" si="77"/>
        <v>79580359</v>
      </c>
      <c r="O717" s="116"/>
      <c r="P717" s="116">
        <f>P718+P723+P725+P727+P729</f>
        <v>79580359</v>
      </c>
      <c r="Q717" s="116">
        <f t="shared" si="77"/>
        <v>79580359</v>
      </c>
      <c r="R717" s="102"/>
      <c r="S717" s="116">
        <f>S718+S723+S725+S727+S729</f>
        <v>79580359</v>
      </c>
    </row>
    <row r="718" spans="1:19" ht="63">
      <c r="A718" s="41" t="s">
        <v>282</v>
      </c>
      <c r="B718" s="24" t="s">
        <v>116</v>
      </c>
      <c r="C718" s="24" t="s">
        <v>85</v>
      </c>
      <c r="D718" s="24" t="s">
        <v>283</v>
      </c>
      <c r="E718" s="24"/>
      <c r="F718" s="80">
        <v>0</v>
      </c>
      <c r="G718" s="47">
        <v>241110</v>
      </c>
      <c r="H718" s="116">
        <f>H719+H720+H721+H722</f>
        <v>57870173</v>
      </c>
      <c r="N718" s="116">
        <f>N719+N720+N721+N722</f>
        <v>57870173</v>
      </c>
      <c r="O718" s="116"/>
      <c r="P718" s="116">
        <f>P719+P720+P721+P722</f>
        <v>57870173</v>
      </c>
      <c r="Q718" s="116">
        <f>Q719+Q720+Q721+Q722</f>
        <v>57870173</v>
      </c>
      <c r="R718" s="102"/>
      <c r="S718" s="116">
        <f>S719+S720+S721+S722</f>
        <v>57870173</v>
      </c>
    </row>
    <row r="719" spans="1:19" ht="26.25" customHeight="1">
      <c r="A719" s="41" t="s">
        <v>129</v>
      </c>
      <c r="B719" s="24" t="s">
        <v>116</v>
      </c>
      <c r="C719" s="24" t="s">
        <v>85</v>
      </c>
      <c r="D719" s="24" t="s">
        <v>283</v>
      </c>
      <c r="E719" s="24" t="s">
        <v>133</v>
      </c>
      <c r="F719" s="80"/>
      <c r="G719" s="47"/>
      <c r="H719" s="116">
        <v>33500702</v>
      </c>
      <c r="N719" s="116">
        <v>33500702</v>
      </c>
      <c r="O719" s="116"/>
      <c r="P719" s="116">
        <f aca="true" t="shared" si="78" ref="P719:P730">N719+O719</f>
        <v>33500702</v>
      </c>
      <c r="Q719" s="116">
        <v>33500702</v>
      </c>
      <c r="R719" s="102"/>
      <c r="S719" s="116">
        <f aca="true" t="shared" si="79" ref="S719:S730">Q719+R719</f>
        <v>33500702</v>
      </c>
    </row>
    <row r="720" spans="1:19" ht="34.5" customHeight="1">
      <c r="A720" s="41" t="s">
        <v>130</v>
      </c>
      <c r="B720" s="24" t="s">
        <v>116</v>
      </c>
      <c r="C720" s="24" t="s">
        <v>85</v>
      </c>
      <c r="D720" s="24" t="s">
        <v>283</v>
      </c>
      <c r="E720" s="24" t="s">
        <v>134</v>
      </c>
      <c r="F720" s="80"/>
      <c r="G720" s="47"/>
      <c r="H720" s="116">
        <v>8280</v>
      </c>
      <c r="N720" s="116">
        <v>8280</v>
      </c>
      <c r="O720" s="116"/>
      <c r="P720" s="116">
        <f t="shared" si="78"/>
        <v>8280</v>
      </c>
      <c r="Q720" s="116">
        <v>8280</v>
      </c>
      <c r="R720" s="102"/>
      <c r="S720" s="116">
        <f t="shared" si="79"/>
        <v>8280</v>
      </c>
    </row>
    <row r="721" spans="1:19" ht="36" customHeight="1">
      <c r="A721" s="41" t="s">
        <v>131</v>
      </c>
      <c r="B721" s="24" t="s">
        <v>116</v>
      </c>
      <c r="C721" s="24" t="s">
        <v>85</v>
      </c>
      <c r="D721" s="24" t="s">
        <v>283</v>
      </c>
      <c r="E721" s="24" t="s">
        <v>135</v>
      </c>
      <c r="F721" s="80">
        <v>0</v>
      </c>
      <c r="G721" s="47">
        <v>645005</v>
      </c>
      <c r="H721" s="116">
        <v>317207</v>
      </c>
      <c r="N721" s="116">
        <v>317207</v>
      </c>
      <c r="O721" s="116"/>
      <c r="P721" s="116">
        <f t="shared" si="78"/>
        <v>317207</v>
      </c>
      <c r="Q721" s="116">
        <v>317207</v>
      </c>
      <c r="R721" s="102"/>
      <c r="S721" s="116">
        <f t="shared" si="79"/>
        <v>317207</v>
      </c>
    </row>
    <row r="722" spans="1:19" ht="36" customHeight="1">
      <c r="A722" s="41" t="s">
        <v>161</v>
      </c>
      <c r="B722" s="24" t="s">
        <v>116</v>
      </c>
      <c r="C722" s="24" t="s">
        <v>85</v>
      </c>
      <c r="D722" s="24" t="s">
        <v>283</v>
      </c>
      <c r="E722" s="24" t="s">
        <v>136</v>
      </c>
      <c r="F722" s="80">
        <v>0</v>
      </c>
      <c r="G722" s="47">
        <v>25857607</v>
      </c>
      <c r="H722" s="116">
        <v>24043984</v>
      </c>
      <c r="N722" s="116">
        <v>24043984</v>
      </c>
      <c r="O722" s="116"/>
      <c r="P722" s="116">
        <f t="shared" si="78"/>
        <v>24043984</v>
      </c>
      <c r="Q722" s="116">
        <v>24043984</v>
      </c>
      <c r="R722" s="102"/>
      <c r="S722" s="116">
        <f t="shared" si="79"/>
        <v>24043984</v>
      </c>
    </row>
    <row r="723" spans="1:19" ht="63">
      <c r="A723" s="33" t="s">
        <v>284</v>
      </c>
      <c r="B723" s="24" t="s">
        <v>116</v>
      </c>
      <c r="C723" s="24" t="s">
        <v>85</v>
      </c>
      <c r="D723" s="24" t="s">
        <v>285</v>
      </c>
      <c r="E723" s="24"/>
      <c r="F723" s="80">
        <f>F725</f>
        <v>0</v>
      </c>
      <c r="G723" s="24"/>
      <c r="H723" s="116">
        <f>H724</f>
        <v>10558536</v>
      </c>
      <c r="N723" s="116">
        <f>N724</f>
        <v>10558536</v>
      </c>
      <c r="O723" s="116"/>
      <c r="P723" s="116">
        <f>P724</f>
        <v>10558536</v>
      </c>
      <c r="Q723" s="116">
        <f>Q724</f>
        <v>10558536</v>
      </c>
      <c r="R723" s="102"/>
      <c r="S723" s="116">
        <f>S724</f>
        <v>10558536</v>
      </c>
    </row>
    <row r="724" spans="1:19" ht="63">
      <c r="A724" s="41" t="s">
        <v>144</v>
      </c>
      <c r="B724" s="24" t="s">
        <v>116</v>
      </c>
      <c r="C724" s="24" t="s">
        <v>85</v>
      </c>
      <c r="D724" s="24" t="s">
        <v>285</v>
      </c>
      <c r="E724" s="24" t="s">
        <v>145</v>
      </c>
      <c r="F724" s="80"/>
      <c r="G724" s="24"/>
      <c r="H724" s="116">
        <v>10558536</v>
      </c>
      <c r="N724" s="116">
        <v>10558536</v>
      </c>
      <c r="O724" s="116"/>
      <c r="P724" s="116">
        <f t="shared" si="78"/>
        <v>10558536</v>
      </c>
      <c r="Q724" s="116">
        <v>10558536</v>
      </c>
      <c r="R724" s="102"/>
      <c r="S724" s="116">
        <f t="shared" si="79"/>
        <v>10558536</v>
      </c>
    </row>
    <row r="725" spans="1:19" ht="47.25">
      <c r="A725" s="33" t="s">
        <v>286</v>
      </c>
      <c r="B725" s="24" t="s">
        <v>116</v>
      </c>
      <c r="C725" s="24" t="s">
        <v>85</v>
      </c>
      <c r="D725" s="24" t="s">
        <v>287</v>
      </c>
      <c r="E725" s="24"/>
      <c r="F725" s="80">
        <v>0</v>
      </c>
      <c r="G725" s="47">
        <v>179004</v>
      </c>
      <c r="H725" s="116">
        <f>H726</f>
        <v>10925900</v>
      </c>
      <c r="N725" s="116">
        <f>N726</f>
        <v>10925900</v>
      </c>
      <c r="O725" s="116"/>
      <c r="P725" s="116">
        <f>P726</f>
        <v>10925900</v>
      </c>
      <c r="Q725" s="116">
        <f>Q726</f>
        <v>10925900</v>
      </c>
      <c r="R725" s="102"/>
      <c r="S725" s="116">
        <f>S726</f>
        <v>10925900</v>
      </c>
    </row>
    <row r="726" spans="1:19" ht="37.5" customHeight="1">
      <c r="A726" s="41" t="s">
        <v>161</v>
      </c>
      <c r="B726" s="24" t="s">
        <v>116</v>
      </c>
      <c r="C726" s="24" t="s">
        <v>85</v>
      </c>
      <c r="D726" s="24" t="s">
        <v>287</v>
      </c>
      <c r="E726" s="24" t="s">
        <v>136</v>
      </c>
      <c r="F726" s="80">
        <v>0</v>
      </c>
      <c r="G726" s="47">
        <v>12302600</v>
      </c>
      <c r="H726" s="116">
        <v>10925900</v>
      </c>
      <c r="N726" s="116">
        <v>10925900</v>
      </c>
      <c r="O726" s="116"/>
      <c r="P726" s="116">
        <f t="shared" si="78"/>
        <v>10925900</v>
      </c>
      <c r="Q726" s="116">
        <v>10925900</v>
      </c>
      <c r="R726" s="102"/>
      <c r="S726" s="116">
        <f t="shared" si="79"/>
        <v>10925900</v>
      </c>
    </row>
    <row r="727" spans="1:19" ht="47.25">
      <c r="A727" s="41" t="s">
        <v>288</v>
      </c>
      <c r="B727" s="24" t="s">
        <v>116</v>
      </c>
      <c r="C727" s="24" t="s">
        <v>85</v>
      </c>
      <c r="D727" s="24" t="s">
        <v>289</v>
      </c>
      <c r="E727" s="24"/>
      <c r="F727" s="80" t="e">
        <f>#REF!+#REF!+#REF!+F729+#REF!+#REF!</f>
        <v>#REF!</v>
      </c>
      <c r="G727" s="24"/>
      <c r="H727" s="116">
        <f>H728</f>
        <v>225750</v>
      </c>
      <c r="N727" s="116">
        <f>N728</f>
        <v>225750</v>
      </c>
      <c r="O727" s="116"/>
      <c r="P727" s="116">
        <f>P728</f>
        <v>225750</v>
      </c>
      <c r="Q727" s="116">
        <f>Q728</f>
        <v>225750</v>
      </c>
      <c r="R727" s="102"/>
      <c r="S727" s="116">
        <f>S728</f>
        <v>225750</v>
      </c>
    </row>
    <row r="728" spans="1:19" ht="38.25" customHeight="1">
      <c r="A728" s="41" t="s">
        <v>161</v>
      </c>
      <c r="B728" s="24" t="s">
        <v>116</v>
      </c>
      <c r="C728" s="24" t="s">
        <v>85</v>
      </c>
      <c r="D728" s="24" t="s">
        <v>289</v>
      </c>
      <c r="E728" s="24" t="s">
        <v>136</v>
      </c>
      <c r="F728" s="80"/>
      <c r="G728" s="24"/>
      <c r="H728" s="116">
        <v>225750</v>
      </c>
      <c r="N728" s="116">
        <v>225750</v>
      </c>
      <c r="O728" s="116"/>
      <c r="P728" s="116">
        <f t="shared" si="78"/>
        <v>225750</v>
      </c>
      <c r="Q728" s="116">
        <v>225750</v>
      </c>
      <c r="R728" s="102"/>
      <c r="S728" s="116">
        <f t="shared" si="79"/>
        <v>225750</v>
      </c>
    </row>
    <row r="729" spans="1:19" ht="47.25">
      <c r="A729" s="41" t="s">
        <v>290</v>
      </c>
      <c r="B729" s="24" t="s">
        <v>116</v>
      </c>
      <c r="C729" s="24" t="s">
        <v>85</v>
      </c>
      <c r="D729" s="24" t="s">
        <v>291</v>
      </c>
      <c r="E729" s="24"/>
      <c r="F729" s="80" t="e">
        <f>F730+#REF!</f>
        <v>#REF!</v>
      </c>
      <c r="G729" s="24"/>
      <c r="H729" s="116">
        <f>H730</f>
        <v>30000000</v>
      </c>
      <c r="N729" s="116">
        <f>N730</f>
        <v>0</v>
      </c>
      <c r="O729" s="116"/>
      <c r="P729" s="116">
        <f>P730</f>
        <v>0</v>
      </c>
      <c r="Q729" s="116">
        <f>Q730</f>
        <v>0</v>
      </c>
      <c r="R729" s="102"/>
      <c r="S729" s="116">
        <f>S730</f>
        <v>0</v>
      </c>
    </row>
    <row r="730" spans="1:19" ht="47.25">
      <c r="A730" s="41" t="s">
        <v>292</v>
      </c>
      <c r="B730" s="24" t="s">
        <v>116</v>
      </c>
      <c r="C730" s="24" t="s">
        <v>85</v>
      </c>
      <c r="D730" s="24" t="s">
        <v>291</v>
      </c>
      <c r="E730" s="24" t="s">
        <v>293</v>
      </c>
      <c r="F730" s="180">
        <v>0</v>
      </c>
      <c r="G730" s="179"/>
      <c r="H730" s="182">
        <v>30000000</v>
      </c>
      <c r="I730" s="183"/>
      <c r="J730" s="183"/>
      <c r="K730" s="183"/>
      <c r="L730" s="183"/>
      <c r="M730" s="183"/>
      <c r="N730" s="116">
        <v>0</v>
      </c>
      <c r="O730" s="116"/>
      <c r="P730" s="116">
        <f t="shared" si="78"/>
        <v>0</v>
      </c>
      <c r="Q730" s="116">
        <v>0</v>
      </c>
      <c r="R730" s="102"/>
      <c r="S730" s="116">
        <f t="shared" si="79"/>
        <v>0</v>
      </c>
    </row>
    <row r="731" spans="1:19" ht="20.25" customHeight="1">
      <c r="A731" s="56" t="s">
        <v>71</v>
      </c>
      <c r="B731" s="24" t="s">
        <v>116</v>
      </c>
      <c r="C731" s="24" t="s">
        <v>72</v>
      </c>
      <c r="D731" s="24"/>
      <c r="E731" s="24"/>
      <c r="F731" s="80" t="e">
        <f>F732+F751+#REF!+#REF!+#REF!+#REF!+#REF!+F733</f>
        <v>#REF!</v>
      </c>
      <c r="G731" s="24"/>
      <c r="H731" s="116">
        <f>H732+H751+H757</f>
        <v>158603794</v>
      </c>
      <c r="N731" s="116">
        <f>N732+N751+N757</f>
        <v>155307894</v>
      </c>
      <c r="O731" s="116"/>
      <c r="P731" s="116">
        <f>P732+P751+P757</f>
        <v>155307894</v>
      </c>
      <c r="Q731" s="116">
        <f>Q732+Q751+Q757</f>
        <v>156867579</v>
      </c>
      <c r="R731" s="102"/>
      <c r="S731" s="116">
        <f>S732+S751+S757</f>
        <v>156867579</v>
      </c>
    </row>
    <row r="732" spans="1:19" ht="47.25">
      <c r="A732" s="41" t="s">
        <v>294</v>
      </c>
      <c r="B732" s="24" t="s">
        <v>116</v>
      </c>
      <c r="C732" s="24" t="s">
        <v>72</v>
      </c>
      <c r="D732" s="24" t="s">
        <v>295</v>
      </c>
      <c r="E732" s="24"/>
      <c r="F732" s="80" t="e">
        <f>#REF!+#REF!+#REF!+#REF!+#REF!+#REF!</f>
        <v>#REF!</v>
      </c>
      <c r="G732" s="24"/>
      <c r="H732" s="116">
        <f>H733+H735+H738+H745+H747+H749</f>
        <v>135906954</v>
      </c>
      <c r="I732" s="116">
        <f aca="true" t="shared" si="80" ref="I732:Q732">I733+I735+I738+I745+I747+I749</f>
        <v>0</v>
      </c>
      <c r="J732" s="116">
        <f t="shared" si="80"/>
        <v>0</v>
      </c>
      <c r="K732" s="116">
        <f t="shared" si="80"/>
        <v>0</v>
      </c>
      <c r="L732" s="116">
        <f t="shared" si="80"/>
        <v>0</v>
      </c>
      <c r="M732" s="116">
        <f t="shared" si="80"/>
        <v>0</v>
      </c>
      <c r="N732" s="116">
        <f t="shared" si="80"/>
        <v>132611054</v>
      </c>
      <c r="O732" s="116"/>
      <c r="P732" s="116">
        <f>P733+P735+P738+P745+P747+P749</f>
        <v>132611054</v>
      </c>
      <c r="Q732" s="116">
        <f t="shared" si="80"/>
        <v>134170739</v>
      </c>
      <c r="R732" s="102"/>
      <c r="S732" s="116">
        <f>S733+S735+S738+S745+S747+S749</f>
        <v>134170739</v>
      </c>
    </row>
    <row r="733" spans="1:19" s="135" customFormat="1" ht="63">
      <c r="A733" s="33" t="s">
        <v>298</v>
      </c>
      <c r="B733" s="24" t="s">
        <v>116</v>
      </c>
      <c r="C733" s="24" t="s">
        <v>72</v>
      </c>
      <c r="D733" s="24" t="s">
        <v>299</v>
      </c>
      <c r="E733" s="24"/>
      <c r="F733" s="80">
        <f>F734</f>
        <v>0</v>
      </c>
      <c r="G733" s="47"/>
      <c r="H733" s="116">
        <f>H734</f>
        <v>12622000</v>
      </c>
      <c r="I733" s="123"/>
      <c r="J733" s="123"/>
      <c r="K733" s="123"/>
      <c r="L733" s="123"/>
      <c r="M733" s="123"/>
      <c r="N733" s="124">
        <f>N734</f>
        <v>13215000</v>
      </c>
      <c r="O733" s="124"/>
      <c r="P733" s="124">
        <f>P734</f>
        <v>13215000</v>
      </c>
      <c r="Q733" s="124">
        <f>Q734</f>
        <v>13837000</v>
      </c>
      <c r="R733" s="186"/>
      <c r="S733" s="124">
        <f>S734</f>
        <v>13837000</v>
      </c>
    </row>
    <row r="734" spans="1:19" s="135" customFormat="1" ht="28.5" customHeight="1">
      <c r="A734" s="41" t="s">
        <v>139</v>
      </c>
      <c r="B734" s="24" t="s">
        <v>116</v>
      </c>
      <c r="C734" s="24" t="s">
        <v>72</v>
      </c>
      <c r="D734" s="24" t="s">
        <v>299</v>
      </c>
      <c r="E734" s="24" t="s">
        <v>136</v>
      </c>
      <c r="F734" s="80">
        <v>0</v>
      </c>
      <c r="G734" s="47">
        <v>2188296</v>
      </c>
      <c r="H734" s="116">
        <v>12622000</v>
      </c>
      <c r="I734" s="123"/>
      <c r="J734" s="123"/>
      <c r="K734" s="123"/>
      <c r="L734" s="123"/>
      <c r="M734" s="123"/>
      <c r="N734" s="124">
        <v>13215000</v>
      </c>
      <c r="O734" s="124"/>
      <c r="P734" s="116">
        <f aca="true" t="shared" si="81" ref="P734:P750">N734+O734</f>
        <v>13215000</v>
      </c>
      <c r="Q734" s="124">
        <v>13837000</v>
      </c>
      <c r="R734" s="186"/>
      <c r="S734" s="116">
        <f aca="true" t="shared" si="82" ref="S734:S750">Q734+R734</f>
        <v>13837000</v>
      </c>
    </row>
    <row r="735" spans="1:19" s="135" customFormat="1" ht="47.25">
      <c r="A735" s="57" t="s">
        <v>300</v>
      </c>
      <c r="B735" s="24" t="s">
        <v>116</v>
      </c>
      <c r="C735" s="24" t="s">
        <v>72</v>
      </c>
      <c r="D735" s="24" t="s">
        <v>301</v>
      </c>
      <c r="E735" s="24"/>
      <c r="F735" s="80"/>
      <c r="G735" s="47"/>
      <c r="H735" s="116">
        <f>H736+H737</f>
        <v>600000</v>
      </c>
      <c r="I735" s="123"/>
      <c r="J735" s="123"/>
      <c r="K735" s="123"/>
      <c r="L735" s="123"/>
      <c r="M735" s="123"/>
      <c r="N735" s="116">
        <f>N736+N737</f>
        <v>600000</v>
      </c>
      <c r="O735" s="116"/>
      <c r="P735" s="116">
        <f>P736+P737</f>
        <v>600000</v>
      </c>
      <c r="Q735" s="116">
        <f>Q736+Q737</f>
        <v>600000</v>
      </c>
      <c r="R735" s="186"/>
      <c r="S735" s="116">
        <f>S736+S737</f>
        <v>600000</v>
      </c>
    </row>
    <row r="736" spans="1:19" s="135" customFormat="1" ht="39" customHeight="1">
      <c r="A736" s="41" t="s">
        <v>161</v>
      </c>
      <c r="B736" s="24" t="s">
        <v>116</v>
      </c>
      <c r="C736" s="24" t="s">
        <v>72</v>
      </c>
      <c r="D736" s="24" t="s">
        <v>301</v>
      </c>
      <c r="E736" s="24" t="s">
        <v>136</v>
      </c>
      <c r="F736" s="80"/>
      <c r="G736" s="47"/>
      <c r="H736" s="116">
        <v>378750</v>
      </c>
      <c r="I736" s="123"/>
      <c r="J736" s="123"/>
      <c r="K736" s="123"/>
      <c r="L736" s="123"/>
      <c r="M736" s="123"/>
      <c r="N736" s="116">
        <v>378750</v>
      </c>
      <c r="O736" s="116"/>
      <c r="P736" s="116">
        <f t="shared" si="81"/>
        <v>378750</v>
      </c>
      <c r="Q736" s="116">
        <v>378750</v>
      </c>
      <c r="R736" s="186"/>
      <c r="S736" s="116">
        <f t="shared" si="82"/>
        <v>378750</v>
      </c>
    </row>
    <row r="737" spans="1:19" ht="35.25" customHeight="1">
      <c r="A737" s="41" t="s">
        <v>302</v>
      </c>
      <c r="B737" s="24" t="s">
        <v>116</v>
      </c>
      <c r="C737" s="24" t="s">
        <v>72</v>
      </c>
      <c r="D737" s="24" t="s">
        <v>301</v>
      </c>
      <c r="E737" s="24" t="s">
        <v>303</v>
      </c>
      <c r="F737" s="80"/>
      <c r="G737" s="47"/>
      <c r="H737" s="116">
        <v>221250</v>
      </c>
      <c r="N737" s="116">
        <v>221250</v>
      </c>
      <c r="O737" s="116"/>
      <c r="P737" s="116">
        <f t="shared" si="81"/>
        <v>221250</v>
      </c>
      <c r="Q737" s="116">
        <v>221250</v>
      </c>
      <c r="R737" s="102"/>
      <c r="S737" s="116">
        <f t="shared" si="82"/>
        <v>221250</v>
      </c>
    </row>
    <row r="738" spans="1:19" ht="57" customHeight="1">
      <c r="A738" s="33" t="s">
        <v>304</v>
      </c>
      <c r="B738" s="24" t="s">
        <v>116</v>
      </c>
      <c r="C738" s="24" t="s">
        <v>72</v>
      </c>
      <c r="D738" s="24" t="s">
        <v>305</v>
      </c>
      <c r="E738" s="24"/>
      <c r="F738" s="80"/>
      <c r="G738" s="47"/>
      <c r="H738" s="116">
        <f>H739+H740+H741+H742+H743+H744</f>
        <v>97958690</v>
      </c>
      <c r="N738" s="116">
        <f>N739+N740+N741+N742+N743+N744</f>
        <v>94069790</v>
      </c>
      <c r="O738" s="116"/>
      <c r="P738" s="116">
        <f>P739+P740+P741+P742+P743+P744</f>
        <v>94069790</v>
      </c>
      <c r="Q738" s="116">
        <f>Q739+Q740+Q741+Q742+Q743+Q744</f>
        <v>95007475</v>
      </c>
      <c r="R738" s="102"/>
      <c r="S738" s="116">
        <f>S739+S740+S741+S742+S743+S744</f>
        <v>95007475</v>
      </c>
    </row>
    <row r="739" spans="1:19" ht="18" customHeight="1">
      <c r="A739" s="41" t="s">
        <v>129</v>
      </c>
      <c r="B739" s="24" t="s">
        <v>116</v>
      </c>
      <c r="C739" s="24" t="s">
        <v>72</v>
      </c>
      <c r="D739" s="24" t="s">
        <v>305</v>
      </c>
      <c r="E739" s="24" t="s">
        <v>133</v>
      </c>
      <c r="F739" s="80"/>
      <c r="G739" s="47"/>
      <c r="H739" s="116">
        <v>56612522</v>
      </c>
      <c r="N739" s="116">
        <v>56612522</v>
      </c>
      <c r="O739" s="116"/>
      <c r="P739" s="116">
        <f t="shared" si="81"/>
        <v>56612522</v>
      </c>
      <c r="Q739" s="116">
        <v>56612522</v>
      </c>
      <c r="R739" s="102"/>
      <c r="S739" s="116">
        <f t="shared" si="82"/>
        <v>56612522</v>
      </c>
    </row>
    <row r="740" spans="1:19" ht="34.5" customHeight="1">
      <c r="A740" s="41" t="s">
        <v>130</v>
      </c>
      <c r="B740" s="24" t="s">
        <v>116</v>
      </c>
      <c r="C740" s="24" t="s">
        <v>72</v>
      </c>
      <c r="D740" s="24" t="s">
        <v>305</v>
      </c>
      <c r="E740" s="24" t="s">
        <v>134</v>
      </c>
      <c r="F740" s="80"/>
      <c r="G740" s="47"/>
      <c r="H740" s="116">
        <v>13490</v>
      </c>
      <c r="N740" s="116">
        <v>13490</v>
      </c>
      <c r="O740" s="116"/>
      <c r="P740" s="116">
        <f t="shared" si="81"/>
        <v>13490</v>
      </c>
      <c r="Q740" s="116">
        <v>13490</v>
      </c>
      <c r="R740" s="102"/>
      <c r="S740" s="116">
        <f t="shared" si="82"/>
        <v>13490</v>
      </c>
    </row>
    <row r="741" spans="1:19" ht="37.5" customHeight="1">
      <c r="A741" s="41" t="s">
        <v>131</v>
      </c>
      <c r="B741" s="24" t="s">
        <v>116</v>
      </c>
      <c r="C741" s="24" t="s">
        <v>72</v>
      </c>
      <c r="D741" s="24" t="s">
        <v>305</v>
      </c>
      <c r="E741" s="24" t="s">
        <v>135</v>
      </c>
      <c r="F741" s="80"/>
      <c r="G741" s="47"/>
      <c r="H741" s="116">
        <v>475356</v>
      </c>
      <c r="N741" s="116">
        <v>475356</v>
      </c>
      <c r="O741" s="116"/>
      <c r="P741" s="116">
        <f t="shared" si="81"/>
        <v>475356</v>
      </c>
      <c r="Q741" s="116">
        <v>475356</v>
      </c>
      <c r="R741" s="102"/>
      <c r="S741" s="116">
        <f t="shared" si="82"/>
        <v>475356</v>
      </c>
    </row>
    <row r="742" spans="1:19" ht="47.25">
      <c r="A742" s="132" t="s">
        <v>306</v>
      </c>
      <c r="B742" s="24" t="s">
        <v>116</v>
      </c>
      <c r="C742" s="24" t="s">
        <v>72</v>
      </c>
      <c r="D742" s="24" t="s">
        <v>305</v>
      </c>
      <c r="E742" s="24" t="s">
        <v>138</v>
      </c>
      <c r="F742" s="80"/>
      <c r="G742" s="47"/>
      <c r="H742" s="116">
        <v>50000</v>
      </c>
      <c r="N742" s="116">
        <v>50000</v>
      </c>
      <c r="O742" s="116"/>
      <c r="P742" s="116">
        <f t="shared" si="81"/>
        <v>50000</v>
      </c>
      <c r="Q742" s="116">
        <v>50000</v>
      </c>
      <c r="R742" s="102"/>
      <c r="S742" s="116">
        <f t="shared" si="82"/>
        <v>50000</v>
      </c>
    </row>
    <row r="743" spans="1:19" ht="37.5" customHeight="1">
      <c r="A743" s="41" t="s">
        <v>161</v>
      </c>
      <c r="B743" s="24" t="s">
        <v>116</v>
      </c>
      <c r="C743" s="24" t="s">
        <v>72</v>
      </c>
      <c r="D743" s="24" t="s">
        <v>305</v>
      </c>
      <c r="E743" s="24" t="s">
        <v>136</v>
      </c>
      <c r="F743" s="180"/>
      <c r="G743" s="184"/>
      <c r="H743" s="182">
        <v>40801322</v>
      </c>
      <c r="I743" s="183"/>
      <c r="J743" s="183"/>
      <c r="K743" s="183"/>
      <c r="L743" s="183"/>
      <c r="M743" s="183"/>
      <c r="N743" s="116">
        <v>36912422</v>
      </c>
      <c r="O743" s="116"/>
      <c r="P743" s="116">
        <f t="shared" si="81"/>
        <v>36912422</v>
      </c>
      <c r="Q743" s="116">
        <v>37850107</v>
      </c>
      <c r="R743" s="102"/>
      <c r="S743" s="116">
        <f t="shared" si="82"/>
        <v>37850107</v>
      </c>
    </row>
    <row r="744" spans="1:19" ht="21" customHeight="1">
      <c r="A744" s="188" t="s">
        <v>148</v>
      </c>
      <c r="B744" s="24" t="s">
        <v>116</v>
      </c>
      <c r="C744" s="24" t="s">
        <v>72</v>
      </c>
      <c r="D744" s="24" t="s">
        <v>305</v>
      </c>
      <c r="E744" s="24" t="s">
        <v>137</v>
      </c>
      <c r="F744" s="80"/>
      <c r="G744" s="47"/>
      <c r="H744" s="116">
        <v>6000</v>
      </c>
      <c r="N744" s="116">
        <v>6000</v>
      </c>
      <c r="O744" s="116"/>
      <c r="P744" s="116">
        <f t="shared" si="81"/>
        <v>6000</v>
      </c>
      <c r="Q744" s="116">
        <v>6000</v>
      </c>
      <c r="R744" s="102"/>
      <c r="S744" s="116">
        <f t="shared" si="82"/>
        <v>6000</v>
      </c>
    </row>
    <row r="745" spans="1:19" ht="50.25" customHeight="1">
      <c r="A745" s="33" t="s">
        <v>307</v>
      </c>
      <c r="B745" s="24" t="s">
        <v>116</v>
      </c>
      <c r="C745" s="24" t="s">
        <v>72</v>
      </c>
      <c r="D745" s="24" t="s">
        <v>308</v>
      </c>
      <c r="E745" s="24"/>
      <c r="F745" s="80"/>
      <c r="G745" s="47"/>
      <c r="H745" s="116">
        <f>H746</f>
        <v>22391349</v>
      </c>
      <c r="N745" s="116">
        <f>N746</f>
        <v>22391349</v>
      </c>
      <c r="O745" s="116"/>
      <c r="P745" s="116">
        <f>P746</f>
        <v>22391349</v>
      </c>
      <c r="Q745" s="116">
        <f>Q746</f>
        <v>22391349</v>
      </c>
      <c r="R745" s="102"/>
      <c r="S745" s="116">
        <f>S746</f>
        <v>22391349</v>
      </c>
    </row>
    <row r="746" spans="1:19" ht="47.25">
      <c r="A746" s="133" t="s">
        <v>309</v>
      </c>
      <c r="B746" s="24" t="s">
        <v>116</v>
      </c>
      <c r="C746" s="24" t="s">
        <v>72</v>
      </c>
      <c r="D746" s="24" t="s">
        <v>308</v>
      </c>
      <c r="E746" s="24" t="s">
        <v>310</v>
      </c>
      <c r="F746" s="80"/>
      <c r="G746" s="47"/>
      <c r="H746" s="116">
        <v>22391349</v>
      </c>
      <c r="N746" s="116">
        <v>22391349</v>
      </c>
      <c r="O746" s="116"/>
      <c r="P746" s="116">
        <f t="shared" si="81"/>
        <v>22391349</v>
      </c>
      <c r="Q746" s="116">
        <v>22391349</v>
      </c>
      <c r="R746" s="102"/>
      <c r="S746" s="116">
        <f t="shared" si="82"/>
        <v>22391349</v>
      </c>
    </row>
    <row r="747" spans="1:19" ht="47.25">
      <c r="A747" s="33" t="s">
        <v>311</v>
      </c>
      <c r="B747" s="24" t="s">
        <v>116</v>
      </c>
      <c r="C747" s="24" t="s">
        <v>72</v>
      </c>
      <c r="D747" s="24" t="s">
        <v>312</v>
      </c>
      <c r="E747" s="24"/>
      <c r="F747" s="80"/>
      <c r="G747" s="47"/>
      <c r="H747" s="116">
        <f>H748</f>
        <v>2259915</v>
      </c>
      <c r="N747" s="116">
        <f>N748</f>
        <v>2259915</v>
      </c>
      <c r="O747" s="116"/>
      <c r="P747" s="116">
        <f>P748</f>
        <v>2259915</v>
      </c>
      <c r="Q747" s="116">
        <f>Q748</f>
        <v>2259915</v>
      </c>
      <c r="R747" s="102"/>
      <c r="S747" s="116">
        <f>S748</f>
        <v>2259915</v>
      </c>
    </row>
    <row r="748" spans="1:19" ht="32.25" customHeight="1">
      <c r="A748" s="41" t="s">
        <v>161</v>
      </c>
      <c r="B748" s="24" t="s">
        <v>116</v>
      </c>
      <c r="C748" s="24" t="s">
        <v>72</v>
      </c>
      <c r="D748" s="24" t="s">
        <v>312</v>
      </c>
      <c r="E748" s="24" t="s">
        <v>136</v>
      </c>
      <c r="F748" s="80"/>
      <c r="G748" s="47"/>
      <c r="H748" s="116">
        <v>2259915</v>
      </c>
      <c r="N748" s="116">
        <v>2259915</v>
      </c>
      <c r="O748" s="116"/>
      <c r="P748" s="116">
        <f t="shared" si="81"/>
        <v>2259915</v>
      </c>
      <c r="Q748" s="116">
        <v>2259915</v>
      </c>
      <c r="R748" s="102"/>
      <c r="S748" s="116">
        <f t="shared" si="82"/>
        <v>2259915</v>
      </c>
    </row>
    <row r="749" spans="1:19" ht="34.5" customHeight="1">
      <c r="A749" s="33" t="s">
        <v>313</v>
      </c>
      <c r="B749" s="24" t="s">
        <v>116</v>
      </c>
      <c r="C749" s="24" t="s">
        <v>72</v>
      </c>
      <c r="D749" s="24" t="s">
        <v>314</v>
      </c>
      <c r="E749" s="24"/>
      <c r="F749" s="80"/>
      <c r="G749" s="47"/>
      <c r="H749" s="116">
        <f>H750</f>
        <v>75000</v>
      </c>
      <c r="N749" s="116">
        <f>N750</f>
        <v>75000</v>
      </c>
      <c r="O749" s="116"/>
      <c r="P749" s="116">
        <f>P750</f>
        <v>75000</v>
      </c>
      <c r="Q749" s="116">
        <f>Q750</f>
        <v>75000</v>
      </c>
      <c r="R749" s="102"/>
      <c r="S749" s="116">
        <f>S750</f>
        <v>75000</v>
      </c>
    </row>
    <row r="750" spans="1:19" ht="31.5" customHeight="1">
      <c r="A750" s="41" t="s">
        <v>161</v>
      </c>
      <c r="B750" s="24" t="s">
        <v>116</v>
      </c>
      <c r="C750" s="24" t="s">
        <v>72</v>
      </c>
      <c r="D750" s="24" t="s">
        <v>314</v>
      </c>
      <c r="E750" s="24" t="s">
        <v>136</v>
      </c>
      <c r="F750" s="80"/>
      <c r="G750" s="47"/>
      <c r="H750" s="116">
        <v>75000</v>
      </c>
      <c r="N750" s="116">
        <v>75000</v>
      </c>
      <c r="O750" s="116"/>
      <c r="P750" s="116">
        <f t="shared" si="81"/>
        <v>75000</v>
      </c>
      <c r="Q750" s="116">
        <v>75000</v>
      </c>
      <c r="R750" s="102"/>
      <c r="S750" s="116">
        <f t="shared" si="82"/>
        <v>75000</v>
      </c>
    </row>
    <row r="751" spans="1:19" ht="48.75" customHeight="1">
      <c r="A751" s="41" t="s">
        <v>315</v>
      </c>
      <c r="B751" s="24" t="s">
        <v>116</v>
      </c>
      <c r="C751" s="24" t="s">
        <v>72</v>
      </c>
      <c r="D751" s="24" t="s">
        <v>316</v>
      </c>
      <c r="E751" s="24"/>
      <c r="F751" s="80" t="e">
        <f>F753+#REF!+F754+F755+F756</f>
        <v>#REF!</v>
      </c>
      <c r="G751" s="24"/>
      <c r="H751" s="116">
        <f>H752</f>
        <v>17632640</v>
      </c>
      <c r="N751" s="116">
        <f>N752</f>
        <v>17632640</v>
      </c>
      <c r="O751" s="116"/>
      <c r="P751" s="116">
        <f>P752</f>
        <v>17632640</v>
      </c>
      <c r="Q751" s="116">
        <f>Q752</f>
        <v>17632640</v>
      </c>
      <c r="R751" s="102"/>
      <c r="S751" s="116">
        <f>S752</f>
        <v>17632640</v>
      </c>
    </row>
    <row r="752" spans="1:19" ht="47.25">
      <c r="A752" s="33" t="s">
        <v>317</v>
      </c>
      <c r="B752" s="24" t="s">
        <v>116</v>
      </c>
      <c r="C752" s="24" t="s">
        <v>72</v>
      </c>
      <c r="D752" s="24" t="s">
        <v>318</v>
      </c>
      <c r="E752" s="24"/>
      <c r="F752" s="80"/>
      <c r="G752" s="24"/>
      <c r="H752" s="116">
        <f>H753+H754+H755+H756</f>
        <v>17632640</v>
      </c>
      <c r="N752" s="116">
        <f>N753+N754+N755+N756</f>
        <v>17632640</v>
      </c>
      <c r="O752" s="116"/>
      <c r="P752" s="116">
        <f>P753+P754+P755+P756</f>
        <v>17632640</v>
      </c>
      <c r="Q752" s="116">
        <f>Q753+Q754+Q755+Q756</f>
        <v>17632640</v>
      </c>
      <c r="R752" s="102"/>
      <c r="S752" s="116">
        <f>S753+S754+S755+S756</f>
        <v>17632640</v>
      </c>
    </row>
    <row r="753" spans="1:19" ht="19.5" customHeight="1">
      <c r="A753" s="41" t="s">
        <v>129</v>
      </c>
      <c r="B753" s="24" t="s">
        <v>116</v>
      </c>
      <c r="C753" s="24" t="s">
        <v>72</v>
      </c>
      <c r="D753" s="24" t="s">
        <v>318</v>
      </c>
      <c r="E753" s="24" t="s">
        <v>133</v>
      </c>
      <c r="F753" s="80">
        <v>0</v>
      </c>
      <c r="G753" s="47">
        <v>14730288</v>
      </c>
      <c r="H753" s="116">
        <v>16229463</v>
      </c>
      <c r="N753" s="116">
        <v>16229463</v>
      </c>
      <c r="O753" s="116"/>
      <c r="P753" s="116">
        <f>N753+O753</f>
        <v>16229463</v>
      </c>
      <c r="Q753" s="116">
        <v>16229463</v>
      </c>
      <c r="R753" s="102"/>
      <c r="S753" s="116">
        <f>Q753+R753</f>
        <v>16229463</v>
      </c>
    </row>
    <row r="754" spans="1:19" ht="35.25" customHeight="1">
      <c r="A754" s="41" t="s">
        <v>131</v>
      </c>
      <c r="B754" s="24" t="s">
        <v>116</v>
      </c>
      <c r="C754" s="24" t="s">
        <v>72</v>
      </c>
      <c r="D754" s="24" t="s">
        <v>318</v>
      </c>
      <c r="E754" s="24" t="s">
        <v>135</v>
      </c>
      <c r="F754" s="80">
        <v>0</v>
      </c>
      <c r="G754" s="47">
        <v>126639</v>
      </c>
      <c r="H754" s="116">
        <v>136042</v>
      </c>
      <c r="N754" s="116">
        <v>136042</v>
      </c>
      <c r="O754" s="116"/>
      <c r="P754" s="116">
        <f>N754+O754</f>
        <v>136042</v>
      </c>
      <c r="Q754" s="116">
        <v>136042</v>
      </c>
      <c r="R754" s="102"/>
      <c r="S754" s="116">
        <f>Q754+R754</f>
        <v>136042</v>
      </c>
    </row>
    <row r="755" spans="1:19" ht="33" customHeight="1">
      <c r="A755" s="41" t="s">
        <v>161</v>
      </c>
      <c r="B755" s="24" t="s">
        <v>116</v>
      </c>
      <c r="C755" s="24" t="s">
        <v>72</v>
      </c>
      <c r="D755" s="24" t="s">
        <v>318</v>
      </c>
      <c r="E755" s="24" t="s">
        <v>136</v>
      </c>
      <c r="F755" s="80">
        <v>0</v>
      </c>
      <c r="G755" s="47">
        <v>1326708</v>
      </c>
      <c r="H755" s="116">
        <v>1137135</v>
      </c>
      <c r="N755" s="116">
        <v>1137135</v>
      </c>
      <c r="O755" s="116"/>
      <c r="P755" s="116">
        <f>N755+O755</f>
        <v>1137135</v>
      </c>
      <c r="Q755" s="116">
        <v>1137135</v>
      </c>
      <c r="R755" s="102"/>
      <c r="S755" s="116">
        <f>Q755+R755</f>
        <v>1137135</v>
      </c>
    </row>
    <row r="756" spans="1:19" ht="18" customHeight="1">
      <c r="A756" s="41" t="s">
        <v>140</v>
      </c>
      <c r="B756" s="24" t="s">
        <v>116</v>
      </c>
      <c r="C756" s="24" t="s">
        <v>72</v>
      </c>
      <c r="D756" s="24" t="s">
        <v>318</v>
      </c>
      <c r="E756" s="24" t="s">
        <v>141</v>
      </c>
      <c r="F756" s="80">
        <v>0</v>
      </c>
      <c r="G756" s="47">
        <v>180000</v>
      </c>
      <c r="H756" s="116">
        <v>130000</v>
      </c>
      <c r="N756" s="116">
        <v>130000</v>
      </c>
      <c r="O756" s="116"/>
      <c r="P756" s="116">
        <f>N756+O756</f>
        <v>130000</v>
      </c>
      <c r="Q756" s="116">
        <v>130000</v>
      </c>
      <c r="R756" s="102"/>
      <c r="S756" s="116">
        <f>Q756+R756</f>
        <v>130000</v>
      </c>
    </row>
    <row r="757" spans="1:19" ht="67.5" customHeight="1">
      <c r="A757" s="41" t="s">
        <v>319</v>
      </c>
      <c r="B757" s="24" t="s">
        <v>116</v>
      </c>
      <c r="C757" s="24" t="s">
        <v>72</v>
      </c>
      <c r="D757" s="24" t="s">
        <v>320</v>
      </c>
      <c r="E757" s="24"/>
      <c r="F757" s="80" t="e">
        <f>F758+#REF!</f>
        <v>#REF!</v>
      </c>
      <c r="G757" s="24"/>
      <c r="H757" s="116">
        <f>H758+H761+H764</f>
        <v>5064200</v>
      </c>
      <c r="N757" s="116">
        <f>N758+N761+N764</f>
        <v>5064200</v>
      </c>
      <c r="O757" s="116"/>
      <c r="P757" s="116">
        <f>P758+P761+P764</f>
        <v>5064200</v>
      </c>
      <c r="Q757" s="116">
        <f>Q758+Q761+Q764</f>
        <v>5064200</v>
      </c>
      <c r="R757" s="102"/>
      <c r="S757" s="116">
        <f>S758+S761+S764</f>
        <v>5064200</v>
      </c>
    </row>
    <row r="758" spans="1:19" ht="47.25">
      <c r="A758" s="57" t="s">
        <v>321</v>
      </c>
      <c r="B758" s="24" t="s">
        <v>116</v>
      </c>
      <c r="C758" s="24" t="s">
        <v>72</v>
      </c>
      <c r="D758" s="24" t="s">
        <v>322</v>
      </c>
      <c r="E758" s="24"/>
      <c r="F758" s="80" t="e">
        <f>F764+#REF!</f>
        <v>#REF!</v>
      </c>
      <c r="G758" s="24"/>
      <c r="H758" s="116">
        <f>H759+H760</f>
        <v>3000000</v>
      </c>
      <c r="N758" s="116">
        <f>N759+N760</f>
        <v>3000000</v>
      </c>
      <c r="O758" s="116"/>
      <c r="P758" s="116">
        <f>P759+P760</f>
        <v>3000000</v>
      </c>
      <c r="Q758" s="116">
        <f>Q759+Q760</f>
        <v>3000000</v>
      </c>
      <c r="R758" s="102"/>
      <c r="S758" s="116">
        <f>S759+S760</f>
        <v>3000000</v>
      </c>
    </row>
    <row r="759" spans="1:19" ht="47.25">
      <c r="A759" s="132" t="s">
        <v>306</v>
      </c>
      <c r="B759" s="24" t="s">
        <v>116</v>
      </c>
      <c r="C759" s="24" t="s">
        <v>72</v>
      </c>
      <c r="D759" s="24" t="s">
        <v>322</v>
      </c>
      <c r="E759" s="24" t="s">
        <v>138</v>
      </c>
      <c r="F759" s="80"/>
      <c r="G759" s="24"/>
      <c r="H759" s="116">
        <v>2290427</v>
      </c>
      <c r="N759" s="116">
        <v>2290427</v>
      </c>
      <c r="O759" s="116"/>
      <c r="P759" s="116">
        <f aca="true" t="shared" si="83" ref="P759:P765">N759+O759</f>
        <v>2290427</v>
      </c>
      <c r="Q759" s="116">
        <v>2290427</v>
      </c>
      <c r="R759" s="102"/>
      <c r="S759" s="116">
        <f aca="true" t="shared" si="84" ref="S759:S765">Q759+R759</f>
        <v>2290427</v>
      </c>
    </row>
    <row r="760" spans="1:19" ht="35.25" customHeight="1">
      <c r="A760" s="41" t="s">
        <v>302</v>
      </c>
      <c r="B760" s="24" t="s">
        <v>116</v>
      </c>
      <c r="C760" s="24" t="s">
        <v>72</v>
      </c>
      <c r="D760" s="24" t="s">
        <v>322</v>
      </c>
      <c r="E760" s="24" t="s">
        <v>303</v>
      </c>
      <c r="F760" s="80"/>
      <c r="G760" s="24"/>
      <c r="H760" s="116">
        <v>709573</v>
      </c>
      <c r="N760" s="116">
        <v>709573</v>
      </c>
      <c r="O760" s="116"/>
      <c r="P760" s="116">
        <f t="shared" si="83"/>
        <v>709573</v>
      </c>
      <c r="Q760" s="116">
        <v>709573</v>
      </c>
      <c r="R760" s="102"/>
      <c r="S760" s="116">
        <f t="shared" si="84"/>
        <v>709573</v>
      </c>
    </row>
    <row r="761" spans="1:19" ht="94.5">
      <c r="A761" s="33" t="s">
        <v>325</v>
      </c>
      <c r="B761" s="24" t="s">
        <v>116</v>
      </c>
      <c r="C761" s="24" t="s">
        <v>72</v>
      </c>
      <c r="D761" s="24" t="s">
        <v>326</v>
      </c>
      <c r="E761" s="24"/>
      <c r="F761" s="80"/>
      <c r="G761" s="24"/>
      <c r="H761" s="116">
        <f>H762+H763</f>
        <v>1850000</v>
      </c>
      <c r="N761" s="116">
        <f>N762+N763</f>
        <v>1850000</v>
      </c>
      <c r="O761" s="116"/>
      <c r="P761" s="116">
        <f>P762+P763</f>
        <v>1850000</v>
      </c>
      <c r="Q761" s="116">
        <f>Q762+Q763</f>
        <v>1850000</v>
      </c>
      <c r="R761" s="102"/>
      <c r="S761" s="116">
        <f>S762+S763</f>
        <v>1850000</v>
      </c>
    </row>
    <row r="762" spans="1:19" ht="34.5" customHeight="1">
      <c r="A762" s="41" t="s">
        <v>161</v>
      </c>
      <c r="B762" s="24" t="s">
        <v>116</v>
      </c>
      <c r="C762" s="24" t="s">
        <v>72</v>
      </c>
      <c r="D762" s="24" t="s">
        <v>326</v>
      </c>
      <c r="E762" s="24" t="s">
        <v>136</v>
      </c>
      <c r="F762" s="80"/>
      <c r="G762" s="24"/>
      <c r="H762" s="116">
        <v>830000</v>
      </c>
      <c r="N762" s="116">
        <v>830000</v>
      </c>
      <c r="O762" s="116"/>
      <c r="P762" s="116">
        <f t="shared" si="83"/>
        <v>830000</v>
      </c>
      <c r="Q762" s="116">
        <v>830000</v>
      </c>
      <c r="R762" s="102"/>
      <c r="S762" s="116">
        <f t="shared" si="84"/>
        <v>830000</v>
      </c>
    </row>
    <row r="763" spans="1:19" ht="38.25" customHeight="1">
      <c r="A763" s="41" t="s">
        <v>302</v>
      </c>
      <c r="B763" s="24" t="s">
        <v>116</v>
      </c>
      <c r="C763" s="24" t="s">
        <v>72</v>
      </c>
      <c r="D763" s="24" t="s">
        <v>326</v>
      </c>
      <c r="E763" s="24" t="s">
        <v>303</v>
      </c>
      <c r="F763" s="80"/>
      <c r="G763" s="24"/>
      <c r="H763" s="116">
        <v>1020000</v>
      </c>
      <c r="N763" s="116">
        <v>1020000</v>
      </c>
      <c r="O763" s="116"/>
      <c r="P763" s="116">
        <f t="shared" si="83"/>
        <v>1020000</v>
      </c>
      <c r="Q763" s="116">
        <v>1020000</v>
      </c>
      <c r="R763" s="102"/>
      <c r="S763" s="116">
        <f t="shared" si="84"/>
        <v>1020000</v>
      </c>
    </row>
    <row r="764" spans="1:19" ht="63">
      <c r="A764" s="41" t="s">
        <v>327</v>
      </c>
      <c r="B764" s="24" t="s">
        <v>116</v>
      </c>
      <c r="C764" s="24" t="s">
        <v>72</v>
      </c>
      <c r="D764" s="24" t="s">
        <v>328</v>
      </c>
      <c r="E764" s="24"/>
      <c r="F764" s="80" t="e">
        <f>F765+#REF!+F793</f>
        <v>#REF!</v>
      </c>
      <c r="G764" s="24"/>
      <c r="H764" s="116">
        <f>H765</f>
        <v>214200</v>
      </c>
      <c r="N764" s="116">
        <f>N765</f>
        <v>214200</v>
      </c>
      <c r="O764" s="116"/>
      <c r="P764" s="116">
        <f>P765</f>
        <v>214200</v>
      </c>
      <c r="Q764" s="116">
        <f>Q765</f>
        <v>214200</v>
      </c>
      <c r="R764" s="102"/>
      <c r="S764" s="116">
        <f>S765</f>
        <v>214200</v>
      </c>
    </row>
    <row r="765" spans="1:19" ht="34.5" customHeight="1">
      <c r="A765" s="41" t="s">
        <v>161</v>
      </c>
      <c r="B765" s="24" t="s">
        <v>116</v>
      </c>
      <c r="C765" s="24" t="s">
        <v>72</v>
      </c>
      <c r="D765" s="24" t="s">
        <v>328</v>
      </c>
      <c r="E765" s="24" t="s">
        <v>136</v>
      </c>
      <c r="F765" s="80">
        <v>0</v>
      </c>
      <c r="G765" s="47">
        <v>1701600</v>
      </c>
      <c r="H765" s="116">
        <v>214200</v>
      </c>
      <c r="N765" s="116">
        <v>214200</v>
      </c>
      <c r="O765" s="116"/>
      <c r="P765" s="116">
        <f t="shared" si="83"/>
        <v>214200</v>
      </c>
      <c r="Q765" s="116">
        <v>214200</v>
      </c>
      <c r="R765" s="102"/>
      <c r="S765" s="116">
        <f t="shared" si="84"/>
        <v>214200</v>
      </c>
    </row>
    <row r="766" spans="1:19" ht="22.5" customHeight="1">
      <c r="A766" s="41" t="s">
        <v>73</v>
      </c>
      <c r="B766" s="24" t="s">
        <v>116</v>
      </c>
      <c r="C766" s="24" t="s">
        <v>74</v>
      </c>
      <c r="D766" s="24"/>
      <c r="E766" s="24"/>
      <c r="F766" s="80"/>
      <c r="G766" s="47"/>
      <c r="H766" s="116">
        <f>H767+H778+H775</f>
        <v>14523570</v>
      </c>
      <c r="N766" s="116">
        <f>N767+N778+N775</f>
        <v>14910270</v>
      </c>
      <c r="O766" s="116"/>
      <c r="P766" s="116">
        <f>P767+P778+P775</f>
        <v>14910270</v>
      </c>
      <c r="Q766" s="116">
        <f>Q767+Q778+Q775</f>
        <v>15316270</v>
      </c>
      <c r="R766" s="102"/>
      <c r="S766" s="116">
        <f>S767+S778+S775</f>
        <v>15316270</v>
      </c>
    </row>
    <row r="767" spans="1:19" ht="63">
      <c r="A767" s="41" t="s">
        <v>329</v>
      </c>
      <c r="B767" s="24" t="s">
        <v>116</v>
      </c>
      <c r="C767" s="24" t="s">
        <v>74</v>
      </c>
      <c r="D767" s="24" t="s">
        <v>330</v>
      </c>
      <c r="E767" s="24"/>
      <c r="F767" s="80" t="e">
        <f>#REF!+F768+F770+#REF!+#REF!+#REF!+#REF!</f>
        <v>#REF!</v>
      </c>
      <c r="G767" s="24"/>
      <c r="H767" s="116">
        <f>H768+H770+H772</f>
        <v>11406570</v>
      </c>
      <c r="N767" s="116">
        <f>N768+N770+N772</f>
        <v>11793270</v>
      </c>
      <c r="O767" s="116"/>
      <c r="P767" s="116">
        <f>P768+P770+P772</f>
        <v>11793270</v>
      </c>
      <c r="Q767" s="116">
        <f>Q768+Q770+Q772</f>
        <v>12199270</v>
      </c>
      <c r="R767" s="102"/>
      <c r="S767" s="116">
        <f>S768+S770+S772</f>
        <v>12199270</v>
      </c>
    </row>
    <row r="768" spans="1:19" ht="34.5" customHeight="1">
      <c r="A768" s="57" t="s">
        <v>331</v>
      </c>
      <c r="B768" s="31" t="s">
        <v>116</v>
      </c>
      <c r="C768" s="31" t="s">
        <v>74</v>
      </c>
      <c r="D768" s="31" t="s">
        <v>332</v>
      </c>
      <c r="E768" s="31"/>
      <c r="F768" s="80">
        <f>F769</f>
        <v>0</v>
      </c>
      <c r="G768" s="31"/>
      <c r="H768" s="116">
        <f>H769</f>
        <v>1302070</v>
      </c>
      <c r="N768" s="116">
        <f>N769</f>
        <v>1302070</v>
      </c>
      <c r="O768" s="116"/>
      <c r="P768" s="116">
        <f>P769</f>
        <v>1302070</v>
      </c>
      <c r="Q768" s="116">
        <f>Q769</f>
        <v>1302070</v>
      </c>
      <c r="R768" s="102"/>
      <c r="S768" s="116">
        <f>S769</f>
        <v>1302070</v>
      </c>
    </row>
    <row r="769" spans="1:19" ht="47.25">
      <c r="A769" s="133" t="s">
        <v>309</v>
      </c>
      <c r="B769" s="31" t="s">
        <v>116</v>
      </c>
      <c r="C769" s="24" t="s">
        <v>74</v>
      </c>
      <c r="D769" s="31" t="s">
        <v>332</v>
      </c>
      <c r="E769" s="31" t="s">
        <v>310</v>
      </c>
      <c r="F769" s="80">
        <v>0</v>
      </c>
      <c r="G769" s="48">
        <v>11802000</v>
      </c>
      <c r="H769" s="116">
        <v>1302070</v>
      </c>
      <c r="N769" s="116">
        <v>1302070</v>
      </c>
      <c r="O769" s="116"/>
      <c r="P769" s="116">
        <f aca="true" t="shared" si="85" ref="P769:P774">N769+O769</f>
        <v>1302070</v>
      </c>
      <c r="Q769" s="116">
        <v>1302070</v>
      </c>
      <c r="R769" s="102"/>
      <c r="S769" s="116">
        <f aca="true" t="shared" si="86" ref="S769:S774">Q769+R769</f>
        <v>1302070</v>
      </c>
    </row>
    <row r="770" spans="1:19" ht="34.5" customHeight="1">
      <c r="A770" s="58" t="s">
        <v>333</v>
      </c>
      <c r="B770" s="31" t="s">
        <v>116</v>
      </c>
      <c r="C770" s="31" t="s">
        <v>74</v>
      </c>
      <c r="D770" s="31" t="s">
        <v>334</v>
      </c>
      <c r="E770" s="31"/>
      <c r="F770" s="80" t="e">
        <f>#REF!+#REF!+#REF!</f>
        <v>#REF!</v>
      </c>
      <c r="G770" s="31"/>
      <c r="H770" s="116">
        <f>H771</f>
        <v>7733500</v>
      </c>
      <c r="N770" s="124">
        <f>N771</f>
        <v>8120200</v>
      </c>
      <c r="O770" s="124"/>
      <c r="P770" s="124">
        <f>P771</f>
        <v>8120200</v>
      </c>
      <c r="Q770" s="124">
        <f>Q771</f>
        <v>8526200</v>
      </c>
      <c r="R770" s="102"/>
      <c r="S770" s="124">
        <f>S771</f>
        <v>8526200</v>
      </c>
    </row>
    <row r="771" spans="1:19" ht="33" customHeight="1">
      <c r="A771" s="41" t="s">
        <v>161</v>
      </c>
      <c r="B771" s="31" t="s">
        <v>116</v>
      </c>
      <c r="C771" s="24" t="s">
        <v>74</v>
      </c>
      <c r="D771" s="24" t="s">
        <v>334</v>
      </c>
      <c r="E771" s="24" t="s">
        <v>136</v>
      </c>
      <c r="F771" s="80"/>
      <c r="G771" s="24"/>
      <c r="H771" s="116">
        <v>7733500</v>
      </c>
      <c r="N771" s="124">
        <v>8120200</v>
      </c>
      <c r="O771" s="124"/>
      <c r="P771" s="116">
        <f t="shared" si="85"/>
        <v>8120200</v>
      </c>
      <c r="Q771" s="124">
        <v>8526200</v>
      </c>
      <c r="R771" s="102"/>
      <c r="S771" s="116">
        <f t="shared" si="86"/>
        <v>8526200</v>
      </c>
    </row>
    <row r="772" spans="1:19" ht="47.25">
      <c r="A772" s="33" t="s">
        <v>335</v>
      </c>
      <c r="B772" s="31" t="s">
        <v>116</v>
      </c>
      <c r="C772" s="31" t="s">
        <v>74</v>
      </c>
      <c r="D772" s="24" t="s">
        <v>336</v>
      </c>
      <c r="E772" s="24"/>
      <c r="F772" s="80"/>
      <c r="G772" s="24"/>
      <c r="H772" s="116">
        <f>H773+H774</f>
        <v>2371000</v>
      </c>
      <c r="N772" s="116">
        <f>N773+N774</f>
        <v>2371000</v>
      </c>
      <c r="O772" s="116"/>
      <c r="P772" s="116">
        <f>P773+P774</f>
        <v>2371000</v>
      </c>
      <c r="Q772" s="116">
        <f>Q773+Q774</f>
        <v>2371000</v>
      </c>
      <c r="R772" s="102"/>
      <c r="S772" s="116">
        <f>S773+S774</f>
        <v>2371000</v>
      </c>
    </row>
    <row r="773" spans="1:19" ht="34.5" customHeight="1">
      <c r="A773" s="41" t="s">
        <v>161</v>
      </c>
      <c r="B773" s="31" t="s">
        <v>116</v>
      </c>
      <c r="C773" s="24" t="s">
        <v>74</v>
      </c>
      <c r="D773" s="24" t="s">
        <v>336</v>
      </c>
      <c r="E773" s="24" t="s">
        <v>136</v>
      </c>
      <c r="F773" s="80"/>
      <c r="G773" s="24"/>
      <c r="H773" s="116">
        <v>1876408</v>
      </c>
      <c r="N773" s="116">
        <v>1876408</v>
      </c>
      <c r="O773" s="116"/>
      <c r="P773" s="116">
        <f t="shared" si="85"/>
        <v>1876408</v>
      </c>
      <c r="Q773" s="116">
        <v>1876408</v>
      </c>
      <c r="R773" s="102"/>
      <c r="S773" s="116">
        <f t="shared" si="86"/>
        <v>1876408</v>
      </c>
    </row>
    <row r="774" spans="1:19" ht="33" customHeight="1">
      <c r="A774" s="41" t="s">
        <v>302</v>
      </c>
      <c r="B774" s="31" t="s">
        <v>116</v>
      </c>
      <c r="C774" s="31" t="s">
        <v>74</v>
      </c>
      <c r="D774" s="24" t="s">
        <v>336</v>
      </c>
      <c r="E774" s="24" t="s">
        <v>303</v>
      </c>
      <c r="F774" s="80"/>
      <c r="G774" s="24"/>
      <c r="H774" s="116">
        <v>494592</v>
      </c>
      <c r="N774" s="116">
        <v>494592</v>
      </c>
      <c r="O774" s="116"/>
      <c r="P774" s="116">
        <f t="shared" si="85"/>
        <v>494592</v>
      </c>
      <c r="Q774" s="116">
        <v>494592</v>
      </c>
      <c r="R774" s="102"/>
      <c r="S774" s="116">
        <f t="shared" si="86"/>
        <v>494592</v>
      </c>
    </row>
    <row r="775" spans="1:19" ht="67.5" customHeight="1">
      <c r="A775" s="41" t="s">
        <v>319</v>
      </c>
      <c r="B775" s="31"/>
      <c r="C775" s="31" t="s">
        <v>74</v>
      </c>
      <c r="D775" s="24" t="s">
        <v>320</v>
      </c>
      <c r="E775" s="24"/>
      <c r="F775" s="80"/>
      <c r="G775" s="24"/>
      <c r="H775" s="116">
        <f>H776</f>
        <v>1267000</v>
      </c>
      <c r="N775" s="116">
        <f>N776</f>
        <v>1267000</v>
      </c>
      <c r="O775" s="116"/>
      <c r="P775" s="116">
        <f>P776</f>
        <v>1267000</v>
      </c>
      <c r="Q775" s="116">
        <f>Q776</f>
        <v>1267000</v>
      </c>
      <c r="R775" s="102"/>
      <c r="S775" s="116">
        <f>S776</f>
        <v>1267000</v>
      </c>
    </row>
    <row r="776" spans="1:19" ht="63">
      <c r="A776" s="33" t="s">
        <v>323</v>
      </c>
      <c r="B776" s="24" t="s">
        <v>116</v>
      </c>
      <c r="C776" s="24" t="s">
        <v>74</v>
      </c>
      <c r="D776" s="24" t="s">
        <v>324</v>
      </c>
      <c r="E776" s="24"/>
      <c r="F776" s="80"/>
      <c r="G776" s="24"/>
      <c r="H776" s="116">
        <f>H777</f>
        <v>1267000</v>
      </c>
      <c r="N776" s="116">
        <f>N777</f>
        <v>1267000</v>
      </c>
      <c r="O776" s="116"/>
      <c r="P776" s="116">
        <f>P777</f>
        <v>1267000</v>
      </c>
      <c r="Q776" s="116">
        <f>Q777</f>
        <v>1267000</v>
      </c>
      <c r="R776" s="102"/>
      <c r="S776" s="116">
        <f>S777</f>
        <v>1267000</v>
      </c>
    </row>
    <row r="777" spans="1:19" ht="31.5" customHeight="1">
      <c r="A777" s="41" t="s">
        <v>302</v>
      </c>
      <c r="B777" s="24" t="s">
        <v>116</v>
      </c>
      <c r="C777" s="24" t="s">
        <v>74</v>
      </c>
      <c r="D777" s="24" t="s">
        <v>324</v>
      </c>
      <c r="E777" s="24" t="s">
        <v>303</v>
      </c>
      <c r="F777" s="80"/>
      <c r="G777" s="24"/>
      <c r="H777" s="116">
        <v>1267000</v>
      </c>
      <c r="N777" s="116">
        <v>1267000</v>
      </c>
      <c r="O777" s="116"/>
      <c r="P777" s="116">
        <f>N777+O777</f>
        <v>1267000</v>
      </c>
      <c r="Q777" s="116">
        <v>1267000</v>
      </c>
      <c r="R777" s="102"/>
      <c r="S777" s="116">
        <f>Q777+R777</f>
        <v>1267000</v>
      </c>
    </row>
    <row r="778" spans="1:19" ht="78.75">
      <c r="A778" s="161" t="s">
        <v>217</v>
      </c>
      <c r="B778" s="31"/>
      <c r="C778" s="31" t="s">
        <v>74</v>
      </c>
      <c r="D778" s="24" t="s">
        <v>215</v>
      </c>
      <c r="E778" s="24"/>
      <c r="F778" s="80"/>
      <c r="G778" s="24"/>
      <c r="H778" s="116">
        <f>H779+H783+H786+H789</f>
        <v>1850000</v>
      </c>
      <c r="N778" s="116">
        <f>N779+N783+N786+N789</f>
        <v>1850000</v>
      </c>
      <c r="O778" s="116"/>
      <c r="P778" s="116">
        <f>P779+P783+P786+P789</f>
        <v>1850000</v>
      </c>
      <c r="Q778" s="116">
        <f>Q779+Q783+Q786+Q789</f>
        <v>1850000</v>
      </c>
      <c r="R778" s="102"/>
      <c r="S778" s="116">
        <f>S779+S783+S786+S789</f>
        <v>1850000</v>
      </c>
    </row>
    <row r="779" spans="1:19" ht="47.25">
      <c r="A779" s="161" t="s">
        <v>360</v>
      </c>
      <c r="B779" s="31"/>
      <c r="C779" s="31" t="s">
        <v>74</v>
      </c>
      <c r="D779" s="24" t="s">
        <v>484</v>
      </c>
      <c r="E779" s="24"/>
      <c r="F779" s="80"/>
      <c r="G779" s="24"/>
      <c r="H779" s="116">
        <f>H780</f>
        <v>827000</v>
      </c>
      <c r="N779" s="116">
        <f>N780</f>
        <v>827000</v>
      </c>
      <c r="O779" s="116"/>
      <c r="P779" s="116">
        <f>P780</f>
        <v>827000</v>
      </c>
      <c r="Q779" s="116">
        <f>Q780</f>
        <v>827000</v>
      </c>
      <c r="R779" s="102"/>
      <c r="S779" s="116">
        <f>S780</f>
        <v>827000</v>
      </c>
    </row>
    <row r="780" spans="1:19" ht="31.5">
      <c r="A780" s="55" t="s">
        <v>361</v>
      </c>
      <c r="B780" s="31"/>
      <c r="C780" s="31" t="s">
        <v>74</v>
      </c>
      <c r="D780" s="24" t="s">
        <v>362</v>
      </c>
      <c r="E780" s="24"/>
      <c r="F780" s="80"/>
      <c r="G780" s="24"/>
      <c r="H780" s="116">
        <f>H781+H782</f>
        <v>827000</v>
      </c>
      <c r="N780" s="116">
        <f>N781+N782</f>
        <v>827000</v>
      </c>
      <c r="O780" s="116"/>
      <c r="P780" s="116">
        <f>P781+P782</f>
        <v>827000</v>
      </c>
      <c r="Q780" s="116">
        <f>Q781+Q782</f>
        <v>827000</v>
      </c>
      <c r="R780" s="102"/>
      <c r="S780" s="116">
        <f>S781+S782</f>
        <v>827000</v>
      </c>
    </row>
    <row r="781" spans="1:19" ht="15.75">
      <c r="A781" s="41" t="s">
        <v>129</v>
      </c>
      <c r="B781" s="31"/>
      <c r="C781" s="31" t="s">
        <v>74</v>
      </c>
      <c r="D781" s="24" t="s">
        <v>362</v>
      </c>
      <c r="E781" s="24" t="s">
        <v>133</v>
      </c>
      <c r="F781" s="80"/>
      <c r="G781" s="24"/>
      <c r="H781" s="116">
        <v>187521</v>
      </c>
      <c r="N781" s="116">
        <v>639479</v>
      </c>
      <c r="O781" s="116"/>
      <c r="P781" s="116">
        <f>N781+O781</f>
        <v>639479</v>
      </c>
      <c r="Q781" s="116">
        <v>639479</v>
      </c>
      <c r="R781" s="102"/>
      <c r="S781" s="116">
        <f>Q781+R781</f>
        <v>639479</v>
      </c>
    </row>
    <row r="782" spans="1:19" ht="15.75">
      <c r="A782" s="41" t="s">
        <v>140</v>
      </c>
      <c r="B782" s="31"/>
      <c r="C782" s="31" t="s">
        <v>74</v>
      </c>
      <c r="D782" s="24" t="s">
        <v>362</v>
      </c>
      <c r="E782" s="24" t="s">
        <v>141</v>
      </c>
      <c r="F782" s="80"/>
      <c r="G782" s="24"/>
      <c r="H782" s="116">
        <v>639479</v>
      </c>
      <c r="N782" s="116">
        <v>187521</v>
      </c>
      <c r="O782" s="116"/>
      <c r="P782" s="116">
        <f>N782+O782</f>
        <v>187521</v>
      </c>
      <c r="Q782" s="116">
        <v>187521</v>
      </c>
      <c r="R782" s="102"/>
      <c r="S782" s="116">
        <f>Q782+R782</f>
        <v>187521</v>
      </c>
    </row>
    <row r="783" spans="1:19" ht="47.25">
      <c r="A783" s="161" t="s">
        <v>363</v>
      </c>
      <c r="B783" s="31"/>
      <c r="C783" s="31" t="s">
        <v>74</v>
      </c>
      <c r="D783" s="24" t="s">
        <v>485</v>
      </c>
      <c r="E783" s="24"/>
      <c r="F783" s="80"/>
      <c r="G783" s="24"/>
      <c r="H783" s="116">
        <f>H784</f>
        <v>126000</v>
      </c>
      <c r="N783" s="116">
        <f>N784</f>
        <v>126000</v>
      </c>
      <c r="O783" s="116"/>
      <c r="P783" s="116">
        <f>P784</f>
        <v>126000</v>
      </c>
      <c r="Q783" s="116">
        <f>Q784</f>
        <v>126000</v>
      </c>
      <c r="R783" s="102"/>
      <c r="S783" s="116">
        <f>S784</f>
        <v>126000</v>
      </c>
    </row>
    <row r="784" spans="1:19" ht="47.25">
      <c r="A784" s="55" t="s">
        <v>364</v>
      </c>
      <c r="B784" s="31"/>
      <c r="C784" s="31" t="s">
        <v>74</v>
      </c>
      <c r="D784" s="24" t="s">
        <v>365</v>
      </c>
      <c r="E784" s="24"/>
      <c r="F784" s="80"/>
      <c r="G784" s="24"/>
      <c r="H784" s="116">
        <f>H785</f>
        <v>126000</v>
      </c>
      <c r="N784" s="116">
        <f>N785</f>
        <v>126000</v>
      </c>
      <c r="O784" s="116"/>
      <c r="P784" s="116">
        <f>P785</f>
        <v>126000</v>
      </c>
      <c r="Q784" s="116">
        <f>Q785</f>
        <v>126000</v>
      </c>
      <c r="R784" s="102"/>
      <c r="S784" s="116">
        <f>S785</f>
        <v>126000</v>
      </c>
    </row>
    <row r="785" spans="1:19" ht="31.5">
      <c r="A785" s="41" t="s">
        <v>161</v>
      </c>
      <c r="B785" s="31"/>
      <c r="C785" s="31" t="s">
        <v>74</v>
      </c>
      <c r="D785" s="24" t="s">
        <v>365</v>
      </c>
      <c r="E785" s="24" t="s">
        <v>136</v>
      </c>
      <c r="F785" s="80"/>
      <c r="G785" s="24"/>
      <c r="H785" s="116">
        <v>126000</v>
      </c>
      <c r="N785" s="116">
        <v>126000</v>
      </c>
      <c r="O785" s="116"/>
      <c r="P785" s="116">
        <f>N785+O785</f>
        <v>126000</v>
      </c>
      <c r="Q785" s="116">
        <v>126000</v>
      </c>
      <c r="R785" s="102"/>
      <c r="S785" s="116">
        <f>Q785+R785</f>
        <v>126000</v>
      </c>
    </row>
    <row r="786" spans="1:19" ht="47.25">
      <c r="A786" s="161" t="s">
        <v>369</v>
      </c>
      <c r="B786" s="31"/>
      <c r="C786" s="31" t="s">
        <v>74</v>
      </c>
      <c r="D786" s="24" t="s">
        <v>486</v>
      </c>
      <c r="E786" s="24"/>
      <c r="F786" s="80"/>
      <c r="G786" s="24"/>
      <c r="H786" s="116">
        <f>H787</f>
        <v>500000</v>
      </c>
      <c r="N786" s="116">
        <f>N787</f>
        <v>500000</v>
      </c>
      <c r="O786" s="116"/>
      <c r="P786" s="116">
        <f>P787</f>
        <v>500000</v>
      </c>
      <c r="Q786" s="116">
        <f>Q787</f>
        <v>500000</v>
      </c>
      <c r="R786" s="102"/>
      <c r="S786" s="116">
        <f>S787</f>
        <v>500000</v>
      </c>
    </row>
    <row r="787" spans="1:19" ht="31.5">
      <c r="A787" s="55" t="s">
        <v>368</v>
      </c>
      <c r="B787" s="31"/>
      <c r="C787" s="31" t="s">
        <v>74</v>
      </c>
      <c r="D787" s="24" t="s">
        <v>370</v>
      </c>
      <c r="E787" s="24"/>
      <c r="F787" s="80"/>
      <c r="G787" s="24"/>
      <c r="H787" s="116">
        <f>H788</f>
        <v>500000</v>
      </c>
      <c r="N787" s="116">
        <f>N788</f>
        <v>500000</v>
      </c>
      <c r="O787" s="116"/>
      <c r="P787" s="116">
        <f>P788</f>
        <v>500000</v>
      </c>
      <c r="Q787" s="116">
        <f>Q788</f>
        <v>500000</v>
      </c>
      <c r="R787" s="102"/>
      <c r="S787" s="116">
        <f>S788</f>
        <v>500000</v>
      </c>
    </row>
    <row r="788" spans="1:19" ht="15.75">
      <c r="A788" s="41" t="s">
        <v>140</v>
      </c>
      <c r="B788" s="31"/>
      <c r="C788" s="31" t="s">
        <v>74</v>
      </c>
      <c r="D788" s="24" t="s">
        <v>370</v>
      </c>
      <c r="E788" s="24" t="s">
        <v>141</v>
      </c>
      <c r="F788" s="80"/>
      <c r="G788" s="24"/>
      <c r="H788" s="116">
        <v>500000</v>
      </c>
      <c r="N788" s="116">
        <v>500000</v>
      </c>
      <c r="O788" s="116"/>
      <c r="P788" s="116">
        <f>N788+O788</f>
        <v>500000</v>
      </c>
      <c r="Q788" s="116">
        <v>500000</v>
      </c>
      <c r="R788" s="102"/>
      <c r="S788" s="116">
        <f>Q788+R788</f>
        <v>500000</v>
      </c>
    </row>
    <row r="789" spans="1:19" ht="47.25">
      <c r="A789" s="82" t="s">
        <v>366</v>
      </c>
      <c r="B789" s="31"/>
      <c r="C789" s="31" t="s">
        <v>74</v>
      </c>
      <c r="D789" s="24" t="s">
        <v>487</v>
      </c>
      <c r="E789" s="24"/>
      <c r="F789" s="80"/>
      <c r="G789" s="24"/>
      <c r="H789" s="116">
        <f>H790</f>
        <v>397000</v>
      </c>
      <c r="N789" s="116">
        <f>N790</f>
        <v>397000</v>
      </c>
      <c r="O789" s="116"/>
      <c r="P789" s="116">
        <f>P790</f>
        <v>397000</v>
      </c>
      <c r="Q789" s="116">
        <f>Q790</f>
        <v>397000</v>
      </c>
      <c r="R789" s="102"/>
      <c r="S789" s="116">
        <f>S790</f>
        <v>397000</v>
      </c>
    </row>
    <row r="790" spans="1:19" ht="47.25">
      <c r="A790" s="83" t="s">
        <v>367</v>
      </c>
      <c r="B790" s="31"/>
      <c r="C790" s="31" t="s">
        <v>74</v>
      </c>
      <c r="D790" s="24" t="s">
        <v>474</v>
      </c>
      <c r="E790" s="24"/>
      <c r="F790" s="80"/>
      <c r="G790" s="24"/>
      <c r="H790" s="116">
        <f>H791</f>
        <v>397000</v>
      </c>
      <c r="N790" s="116">
        <f>N791</f>
        <v>397000</v>
      </c>
      <c r="O790" s="116"/>
      <c r="P790" s="116">
        <f>P791</f>
        <v>397000</v>
      </c>
      <c r="Q790" s="116">
        <f>Q791</f>
        <v>397000</v>
      </c>
      <c r="R790" s="102"/>
      <c r="S790" s="116">
        <f>S791</f>
        <v>397000</v>
      </c>
    </row>
    <row r="791" spans="1:19" ht="15.75">
      <c r="A791" s="72" t="s">
        <v>158</v>
      </c>
      <c r="B791" s="31"/>
      <c r="C791" s="31" t="s">
        <v>74</v>
      </c>
      <c r="D791" s="24" t="s">
        <v>474</v>
      </c>
      <c r="E791" s="24" t="s">
        <v>157</v>
      </c>
      <c r="F791" s="80"/>
      <c r="G791" s="24"/>
      <c r="H791" s="116">
        <v>397000</v>
      </c>
      <c r="N791" s="116">
        <v>397000</v>
      </c>
      <c r="O791" s="116"/>
      <c r="P791" s="116">
        <f>N791+O791</f>
        <v>397000</v>
      </c>
      <c r="Q791" s="116">
        <v>397000</v>
      </c>
      <c r="R791" s="102"/>
      <c r="S791" s="116">
        <f>Q791+R791</f>
        <v>397000</v>
      </c>
    </row>
    <row r="792" spans="1:19" ht="20.25" customHeight="1">
      <c r="A792" s="41" t="s">
        <v>75</v>
      </c>
      <c r="B792" s="24" t="s">
        <v>116</v>
      </c>
      <c r="C792" s="24" t="s">
        <v>76</v>
      </c>
      <c r="D792" s="24"/>
      <c r="E792" s="24"/>
      <c r="F792" s="80" t="e">
        <f>#REF!+F799+#REF!+F809+#REF!</f>
        <v>#REF!</v>
      </c>
      <c r="G792" s="24"/>
      <c r="H792" s="116">
        <f>H793</f>
        <v>9079777</v>
      </c>
      <c r="N792" s="116">
        <f>N793</f>
        <v>9079777</v>
      </c>
      <c r="O792" s="116"/>
      <c r="P792" s="116">
        <f>P793</f>
        <v>9079777</v>
      </c>
      <c r="Q792" s="116">
        <f>Q793</f>
        <v>9079777</v>
      </c>
      <c r="R792" s="102"/>
      <c r="S792" s="116">
        <f>S793</f>
        <v>9079777</v>
      </c>
    </row>
    <row r="793" spans="1:19" ht="78.75">
      <c r="A793" s="41" t="s">
        <v>337</v>
      </c>
      <c r="B793" s="24" t="s">
        <v>116</v>
      </c>
      <c r="C793" s="24" t="s">
        <v>76</v>
      </c>
      <c r="D793" s="24" t="s">
        <v>338</v>
      </c>
      <c r="E793" s="24"/>
      <c r="F793" s="80">
        <v>0</v>
      </c>
      <c r="G793" s="47">
        <v>5432400</v>
      </c>
      <c r="H793" s="116">
        <f>H794+H799+H809</f>
        <v>9079777</v>
      </c>
      <c r="N793" s="116">
        <f>N794+N799+N809</f>
        <v>9079777</v>
      </c>
      <c r="O793" s="116"/>
      <c r="P793" s="116">
        <f>P794+P799+P809+P806</f>
        <v>9079777</v>
      </c>
      <c r="Q793" s="116">
        <f>Q794+Q799+Q809</f>
        <v>9079777</v>
      </c>
      <c r="R793" s="102"/>
      <c r="S793" s="116">
        <f>S794+S799+S809+S806</f>
        <v>9079777</v>
      </c>
    </row>
    <row r="794" spans="1:19" ht="63">
      <c r="A794" s="41" t="s">
        <v>339</v>
      </c>
      <c r="B794" s="24">
        <v>906</v>
      </c>
      <c r="C794" s="24" t="s">
        <v>76</v>
      </c>
      <c r="D794" s="24" t="s">
        <v>340</v>
      </c>
      <c r="E794" s="24"/>
      <c r="F794" s="80" t="e">
        <f>F795+F796+#REF!+#REF!+F797+F798</f>
        <v>#REF!</v>
      </c>
      <c r="G794" s="24"/>
      <c r="H794" s="116">
        <f>H795+H796+H797+H798</f>
        <v>6377777</v>
      </c>
      <c r="N794" s="116">
        <f>N795+N796+N797+N798</f>
        <v>6377777</v>
      </c>
      <c r="O794" s="116"/>
      <c r="P794" s="116">
        <f>P795+P796+P797+P798</f>
        <v>6377777</v>
      </c>
      <c r="Q794" s="116">
        <f>Q795+Q796+Q797+Q798</f>
        <v>6377777</v>
      </c>
      <c r="R794" s="102"/>
      <c r="S794" s="116">
        <f>S795+S796+S797+S798</f>
        <v>6377777</v>
      </c>
    </row>
    <row r="795" spans="1:19" ht="17.25" customHeight="1">
      <c r="A795" s="41" t="s">
        <v>129</v>
      </c>
      <c r="B795" s="24" t="s">
        <v>116</v>
      </c>
      <c r="C795" s="24" t="s">
        <v>76</v>
      </c>
      <c r="D795" s="24" t="s">
        <v>340</v>
      </c>
      <c r="E795" s="24" t="s">
        <v>133</v>
      </c>
      <c r="F795" s="80">
        <v>0</v>
      </c>
      <c r="G795" s="47">
        <v>487939</v>
      </c>
      <c r="H795" s="116">
        <v>5319468</v>
      </c>
      <c r="N795" s="116">
        <v>5319468</v>
      </c>
      <c r="O795" s="116"/>
      <c r="P795" s="116">
        <f aca="true" t="shared" si="87" ref="P795:P810">N795+O795</f>
        <v>5319468</v>
      </c>
      <c r="Q795" s="116">
        <v>5319468</v>
      </c>
      <c r="R795" s="102"/>
      <c r="S795" s="116">
        <f aca="true" t="shared" si="88" ref="S795:S810">Q795+R795</f>
        <v>5319468</v>
      </c>
    </row>
    <row r="796" spans="1:19" ht="31.5">
      <c r="A796" s="41" t="s">
        <v>130</v>
      </c>
      <c r="B796" s="24">
        <v>906</v>
      </c>
      <c r="C796" s="24" t="s">
        <v>76</v>
      </c>
      <c r="D796" s="24" t="s">
        <v>340</v>
      </c>
      <c r="E796" s="24" t="s">
        <v>134</v>
      </c>
      <c r="F796" s="80">
        <v>0</v>
      </c>
      <c r="G796" s="47">
        <v>7200</v>
      </c>
      <c r="H796" s="116">
        <v>19000</v>
      </c>
      <c r="N796" s="116">
        <v>19000</v>
      </c>
      <c r="O796" s="116"/>
      <c r="P796" s="116">
        <f t="shared" si="87"/>
        <v>19000</v>
      </c>
      <c r="Q796" s="116">
        <v>19000</v>
      </c>
      <c r="R796" s="102"/>
      <c r="S796" s="116">
        <f t="shared" si="88"/>
        <v>19000</v>
      </c>
    </row>
    <row r="797" spans="1:19" ht="39" customHeight="1">
      <c r="A797" s="41" t="s">
        <v>131</v>
      </c>
      <c r="B797" s="24">
        <v>906</v>
      </c>
      <c r="C797" s="24" t="s">
        <v>76</v>
      </c>
      <c r="D797" s="24" t="s">
        <v>340</v>
      </c>
      <c r="E797" s="24" t="s">
        <v>135</v>
      </c>
      <c r="F797" s="80">
        <v>0</v>
      </c>
      <c r="G797" s="47">
        <v>62238</v>
      </c>
      <c r="H797" s="116">
        <v>368640</v>
      </c>
      <c r="N797" s="116">
        <v>368640</v>
      </c>
      <c r="O797" s="116"/>
      <c r="P797" s="116">
        <f t="shared" si="87"/>
        <v>368640</v>
      </c>
      <c r="Q797" s="116">
        <v>368640</v>
      </c>
      <c r="R797" s="102"/>
      <c r="S797" s="116">
        <f t="shared" si="88"/>
        <v>368640</v>
      </c>
    </row>
    <row r="798" spans="1:19" ht="35.25" customHeight="1">
      <c r="A798" s="41" t="s">
        <v>161</v>
      </c>
      <c r="B798" s="24" t="s">
        <v>116</v>
      </c>
      <c r="C798" s="24" t="s">
        <v>76</v>
      </c>
      <c r="D798" s="24" t="s">
        <v>340</v>
      </c>
      <c r="E798" s="24" t="s">
        <v>136</v>
      </c>
      <c r="F798" s="80">
        <v>0</v>
      </c>
      <c r="G798" s="47">
        <v>300004</v>
      </c>
      <c r="H798" s="116">
        <v>670669</v>
      </c>
      <c r="N798" s="116">
        <v>670669</v>
      </c>
      <c r="O798" s="116"/>
      <c r="P798" s="116">
        <f t="shared" si="87"/>
        <v>670669</v>
      </c>
      <c r="Q798" s="116">
        <v>670669</v>
      </c>
      <c r="R798" s="102"/>
      <c r="S798" s="116">
        <f t="shared" si="88"/>
        <v>670669</v>
      </c>
    </row>
    <row r="799" spans="1:19" ht="47.25">
      <c r="A799" s="41" t="s">
        <v>341</v>
      </c>
      <c r="B799" s="24">
        <v>906</v>
      </c>
      <c r="C799" s="24" t="s">
        <v>76</v>
      </c>
      <c r="D799" s="24" t="s">
        <v>464</v>
      </c>
      <c r="E799" s="24"/>
      <c r="F799" s="80" t="e">
        <f>#REF!</f>
        <v>#REF!</v>
      </c>
      <c r="G799" s="24"/>
      <c r="H799" s="116">
        <f>H800+H801+H804+H805</f>
        <v>2302000</v>
      </c>
      <c r="N799" s="116">
        <f>N800+N801+N804+N805</f>
        <v>2302000</v>
      </c>
      <c r="O799" s="116"/>
      <c r="P799" s="116">
        <f>P800+P801+P804+P805+P802+P803</f>
        <v>1910241</v>
      </c>
      <c r="Q799" s="116">
        <f>Q800+Q801+Q804+Q805</f>
        <v>2302000</v>
      </c>
      <c r="R799" s="102"/>
      <c r="S799" s="116">
        <f>S800+S801+S804+S805+S802+S803</f>
        <v>1910241</v>
      </c>
    </row>
    <row r="800" spans="1:19" ht="24" customHeight="1">
      <c r="A800" s="41" t="s">
        <v>129</v>
      </c>
      <c r="B800" s="24" t="s">
        <v>116</v>
      </c>
      <c r="C800" s="24" t="s">
        <v>76</v>
      </c>
      <c r="D800" s="24" t="s">
        <v>464</v>
      </c>
      <c r="E800" s="24" t="s">
        <v>133</v>
      </c>
      <c r="F800" s="80">
        <v>0</v>
      </c>
      <c r="G800" s="47">
        <v>4187391</v>
      </c>
      <c r="H800" s="116">
        <v>1808160</v>
      </c>
      <c r="N800" s="116">
        <v>1808160</v>
      </c>
      <c r="O800" s="116">
        <v>-1808160</v>
      </c>
      <c r="P800" s="116">
        <f t="shared" si="87"/>
        <v>0</v>
      </c>
      <c r="Q800" s="116">
        <v>1808160</v>
      </c>
      <c r="R800" s="116">
        <v>-1808160</v>
      </c>
      <c r="S800" s="116">
        <f t="shared" si="88"/>
        <v>0</v>
      </c>
    </row>
    <row r="801" spans="1:19" ht="31.5">
      <c r="A801" s="41" t="s">
        <v>130</v>
      </c>
      <c r="B801" s="24">
        <v>906</v>
      </c>
      <c r="C801" s="24" t="s">
        <v>76</v>
      </c>
      <c r="D801" s="24" t="s">
        <v>464</v>
      </c>
      <c r="E801" s="24" t="s">
        <v>134</v>
      </c>
      <c r="F801" s="80">
        <v>0</v>
      </c>
      <c r="G801" s="47">
        <v>19000</v>
      </c>
      <c r="H801" s="116">
        <v>20000</v>
      </c>
      <c r="N801" s="116">
        <v>20000</v>
      </c>
      <c r="O801" s="116">
        <v>-20000</v>
      </c>
      <c r="P801" s="116">
        <f t="shared" si="87"/>
        <v>0</v>
      </c>
      <c r="Q801" s="116">
        <v>20000</v>
      </c>
      <c r="R801" s="116">
        <v>-20000</v>
      </c>
      <c r="S801" s="116">
        <f t="shared" si="88"/>
        <v>0</v>
      </c>
    </row>
    <row r="802" spans="1:19" ht="15.75">
      <c r="A802" s="41" t="s">
        <v>129</v>
      </c>
      <c r="B802" s="24"/>
      <c r="C802" s="24" t="s">
        <v>76</v>
      </c>
      <c r="D802" s="24" t="s">
        <v>464</v>
      </c>
      <c r="E802" s="24" t="s">
        <v>146</v>
      </c>
      <c r="F802" s="80"/>
      <c r="G802" s="47"/>
      <c r="H802" s="116"/>
      <c r="N802" s="116"/>
      <c r="O802" s="116">
        <v>1424401</v>
      </c>
      <c r="P802" s="116">
        <f t="shared" si="87"/>
        <v>1424401</v>
      </c>
      <c r="Q802" s="116"/>
      <c r="R802" s="116">
        <v>1424401</v>
      </c>
      <c r="S802" s="116">
        <f t="shared" si="88"/>
        <v>1424401</v>
      </c>
    </row>
    <row r="803" spans="1:19" ht="31.5">
      <c r="A803" s="41" t="s">
        <v>130</v>
      </c>
      <c r="B803" s="24"/>
      <c r="C803" s="24" t="s">
        <v>76</v>
      </c>
      <c r="D803" s="24" t="s">
        <v>464</v>
      </c>
      <c r="E803" s="24" t="s">
        <v>147</v>
      </c>
      <c r="F803" s="80"/>
      <c r="G803" s="47"/>
      <c r="H803" s="116"/>
      <c r="N803" s="116"/>
      <c r="O803" s="116">
        <v>12000</v>
      </c>
      <c r="P803" s="116">
        <f t="shared" si="87"/>
        <v>12000</v>
      </c>
      <c r="Q803" s="116"/>
      <c r="R803" s="116">
        <v>12000</v>
      </c>
      <c r="S803" s="116">
        <f t="shared" si="88"/>
        <v>12000</v>
      </c>
    </row>
    <row r="804" spans="1:19" ht="34.5" customHeight="1">
      <c r="A804" s="41" t="s">
        <v>131</v>
      </c>
      <c r="B804" s="24" t="s">
        <v>116</v>
      </c>
      <c r="C804" s="24" t="s">
        <v>76</v>
      </c>
      <c r="D804" s="24" t="s">
        <v>464</v>
      </c>
      <c r="E804" s="24" t="s">
        <v>135</v>
      </c>
      <c r="F804" s="80">
        <v>0</v>
      </c>
      <c r="G804" s="47">
        <v>432052</v>
      </c>
      <c r="H804" s="116">
        <v>136240</v>
      </c>
      <c r="N804" s="116">
        <v>136240</v>
      </c>
      <c r="O804" s="116"/>
      <c r="P804" s="116">
        <f t="shared" si="87"/>
        <v>136240</v>
      </c>
      <c r="Q804" s="116">
        <v>136240</v>
      </c>
      <c r="R804" s="102"/>
      <c r="S804" s="116">
        <f t="shared" si="88"/>
        <v>136240</v>
      </c>
    </row>
    <row r="805" spans="1:19" ht="31.5">
      <c r="A805" s="41" t="s">
        <v>161</v>
      </c>
      <c r="B805" s="24">
        <v>906</v>
      </c>
      <c r="C805" s="24" t="s">
        <v>76</v>
      </c>
      <c r="D805" s="24" t="s">
        <v>464</v>
      </c>
      <c r="E805" s="24" t="s">
        <v>136</v>
      </c>
      <c r="F805" s="80">
        <v>0</v>
      </c>
      <c r="G805" s="47">
        <v>608742</v>
      </c>
      <c r="H805" s="116">
        <v>337600</v>
      </c>
      <c r="N805" s="116">
        <v>337600</v>
      </c>
      <c r="O805" s="116"/>
      <c r="P805" s="116">
        <f t="shared" si="87"/>
        <v>337600</v>
      </c>
      <c r="Q805" s="116">
        <v>337600</v>
      </c>
      <c r="R805" s="102"/>
      <c r="S805" s="116">
        <f t="shared" si="88"/>
        <v>337600</v>
      </c>
    </row>
    <row r="806" spans="1:19" ht="47.25">
      <c r="A806" s="64" t="s">
        <v>514</v>
      </c>
      <c r="B806" s="24"/>
      <c r="C806" s="24" t="s">
        <v>76</v>
      </c>
      <c r="D806" s="24" t="s">
        <v>513</v>
      </c>
      <c r="E806" s="24"/>
      <c r="F806" s="80"/>
      <c r="G806" s="47"/>
      <c r="H806" s="116"/>
      <c r="N806" s="116"/>
      <c r="O806" s="116"/>
      <c r="P806" s="116">
        <f>P807+P808</f>
        <v>391759</v>
      </c>
      <c r="Q806" s="116"/>
      <c r="R806" s="102"/>
      <c r="S806" s="116">
        <f>S807+S808</f>
        <v>391759</v>
      </c>
    </row>
    <row r="807" spans="1:19" ht="15.75">
      <c r="A807" s="41" t="s">
        <v>129</v>
      </c>
      <c r="B807" s="24"/>
      <c r="C807" s="24" t="s">
        <v>76</v>
      </c>
      <c r="D807" s="24" t="s">
        <v>513</v>
      </c>
      <c r="E807" s="24" t="s">
        <v>146</v>
      </c>
      <c r="F807" s="80"/>
      <c r="G807" s="47"/>
      <c r="H807" s="116"/>
      <c r="N807" s="116"/>
      <c r="O807" s="116">
        <v>383759</v>
      </c>
      <c r="P807" s="116">
        <f t="shared" si="87"/>
        <v>383759</v>
      </c>
      <c r="Q807" s="116"/>
      <c r="R807" s="116">
        <v>383759</v>
      </c>
      <c r="S807" s="116">
        <f t="shared" si="88"/>
        <v>383759</v>
      </c>
    </row>
    <row r="808" spans="1:19" ht="31.5">
      <c r="A808" s="41" t="s">
        <v>130</v>
      </c>
      <c r="B808" s="24"/>
      <c r="C808" s="24" t="s">
        <v>76</v>
      </c>
      <c r="D808" s="24" t="s">
        <v>513</v>
      </c>
      <c r="E808" s="24" t="s">
        <v>147</v>
      </c>
      <c r="F808" s="80"/>
      <c r="G808" s="47"/>
      <c r="H808" s="116"/>
      <c r="N808" s="116"/>
      <c r="O808" s="116">
        <v>8000</v>
      </c>
      <c r="P808" s="116">
        <f t="shared" si="87"/>
        <v>8000</v>
      </c>
      <c r="Q808" s="116"/>
      <c r="R808" s="116">
        <v>8000</v>
      </c>
      <c r="S808" s="116">
        <f t="shared" si="88"/>
        <v>8000</v>
      </c>
    </row>
    <row r="809" spans="1:19" ht="36" customHeight="1">
      <c r="A809" s="59" t="s">
        <v>343</v>
      </c>
      <c r="B809" s="24" t="s">
        <v>116</v>
      </c>
      <c r="C809" s="24" t="s">
        <v>76</v>
      </c>
      <c r="D809" s="24" t="s">
        <v>342</v>
      </c>
      <c r="E809" s="24"/>
      <c r="F809" s="80" t="e">
        <f>F810+#REF!+#REF!+#REF!+#REF!+#REF!+#REF!</f>
        <v>#REF!</v>
      </c>
      <c r="G809" s="24" t="s">
        <v>164</v>
      </c>
      <c r="H809" s="116">
        <f>H810</f>
        <v>400000</v>
      </c>
      <c r="N809" s="116">
        <f>N810</f>
        <v>400000</v>
      </c>
      <c r="O809" s="116"/>
      <c r="P809" s="116">
        <f>P810</f>
        <v>400000</v>
      </c>
      <c r="Q809" s="116">
        <f>Q810</f>
        <v>400000</v>
      </c>
      <c r="R809" s="102"/>
      <c r="S809" s="116">
        <f>S810</f>
        <v>400000</v>
      </c>
    </row>
    <row r="810" spans="1:19" ht="23.25" customHeight="1">
      <c r="A810" s="41" t="s">
        <v>140</v>
      </c>
      <c r="B810" s="31" t="s">
        <v>116</v>
      </c>
      <c r="C810" s="31" t="s">
        <v>76</v>
      </c>
      <c r="D810" s="31" t="s">
        <v>342</v>
      </c>
      <c r="E810" s="31" t="s">
        <v>141</v>
      </c>
      <c r="F810" s="148" t="e">
        <f>#REF!</f>
        <v>#REF!</v>
      </c>
      <c r="G810" s="19"/>
      <c r="H810" s="116">
        <v>400000</v>
      </c>
      <c r="N810" s="116">
        <v>400000</v>
      </c>
      <c r="O810" s="116"/>
      <c r="P810" s="116">
        <f t="shared" si="87"/>
        <v>400000</v>
      </c>
      <c r="Q810" s="116">
        <v>400000</v>
      </c>
      <c r="R810" s="102"/>
      <c r="S810" s="116">
        <f t="shared" si="88"/>
        <v>400000</v>
      </c>
    </row>
    <row r="811" spans="1:19" ht="31.5">
      <c r="A811" s="84" t="s">
        <v>427</v>
      </c>
      <c r="B811" s="31"/>
      <c r="C811" s="31" t="s">
        <v>72</v>
      </c>
      <c r="D811" s="31"/>
      <c r="E811" s="31"/>
      <c r="F811" s="148"/>
      <c r="G811" s="19"/>
      <c r="H811" s="116" t="e">
        <f>H812</f>
        <v>#REF!</v>
      </c>
      <c r="N811" s="116">
        <f>N812</f>
        <v>9101000</v>
      </c>
      <c r="O811" s="116"/>
      <c r="P811" s="116">
        <f>P812</f>
        <v>8601000</v>
      </c>
      <c r="Q811" s="116">
        <f>Q812</f>
        <v>9101000</v>
      </c>
      <c r="R811" s="102"/>
      <c r="S811" s="116">
        <f>S812</f>
        <v>8601000</v>
      </c>
    </row>
    <row r="812" spans="1:19" ht="47.25">
      <c r="A812" s="56" t="s">
        <v>424</v>
      </c>
      <c r="B812" s="31"/>
      <c r="C812" s="31" t="s">
        <v>72</v>
      </c>
      <c r="D812" s="24" t="s">
        <v>194</v>
      </c>
      <c r="E812" s="24"/>
      <c r="F812" s="80" t="e">
        <f>#REF!</f>
        <v>#REF!</v>
      </c>
      <c r="G812" s="24"/>
      <c r="H812" s="116" t="e">
        <f>H813+#REF!</f>
        <v>#REF!</v>
      </c>
      <c r="N812" s="116">
        <f>N813</f>
        <v>9101000</v>
      </c>
      <c r="O812" s="116"/>
      <c r="P812" s="116">
        <f>P813</f>
        <v>8601000</v>
      </c>
      <c r="Q812" s="116">
        <f>Q813</f>
        <v>9101000</v>
      </c>
      <c r="R812" s="102"/>
      <c r="S812" s="116">
        <f>S813</f>
        <v>8601000</v>
      </c>
    </row>
    <row r="813" spans="1:19" ht="47.25">
      <c r="A813" s="41" t="s">
        <v>425</v>
      </c>
      <c r="B813" s="31"/>
      <c r="C813" s="31" t="s">
        <v>72</v>
      </c>
      <c r="D813" s="24" t="s">
        <v>428</v>
      </c>
      <c r="E813" s="24"/>
      <c r="F813" s="80"/>
      <c r="G813" s="24"/>
      <c r="H813" s="116">
        <f>H814+H816</f>
        <v>9101000</v>
      </c>
      <c r="N813" s="116">
        <f>N814+N816</f>
        <v>9101000</v>
      </c>
      <c r="O813" s="116"/>
      <c r="P813" s="116">
        <f>P814+P816</f>
        <v>8601000</v>
      </c>
      <c r="Q813" s="116">
        <f>Q814+Q816</f>
        <v>9101000</v>
      </c>
      <c r="R813" s="102"/>
      <c r="S813" s="116">
        <f>S814+S816</f>
        <v>8601000</v>
      </c>
    </row>
    <row r="814" spans="1:19" ht="63">
      <c r="A814" s="64" t="s">
        <v>144</v>
      </c>
      <c r="B814" s="31"/>
      <c r="C814" s="31" t="s">
        <v>72</v>
      </c>
      <c r="D814" s="24" t="s">
        <v>429</v>
      </c>
      <c r="E814" s="24" t="s">
        <v>145</v>
      </c>
      <c r="F814" s="80">
        <v>0</v>
      </c>
      <c r="G814" s="24" t="s">
        <v>430</v>
      </c>
      <c r="H814" s="116">
        <v>8601000</v>
      </c>
      <c r="N814" s="116">
        <v>8601000</v>
      </c>
      <c r="O814" s="116"/>
      <c r="P814" s="116">
        <f>N814+O814</f>
        <v>8601000</v>
      </c>
      <c r="Q814" s="116">
        <v>8601000</v>
      </c>
      <c r="R814" s="102"/>
      <c r="S814" s="116">
        <f>Q814+R814</f>
        <v>8601000</v>
      </c>
    </row>
    <row r="815" spans="1:19" ht="31.5">
      <c r="A815" s="64" t="s">
        <v>426</v>
      </c>
      <c r="B815" s="31"/>
      <c r="C815" s="31" t="s">
        <v>72</v>
      </c>
      <c r="D815" s="24" t="s">
        <v>431</v>
      </c>
      <c r="E815" s="24"/>
      <c r="F815" s="80">
        <v>0</v>
      </c>
      <c r="G815" s="24"/>
      <c r="H815" s="116">
        <f>H816</f>
        <v>500000</v>
      </c>
      <c r="N815" s="116">
        <f>N816</f>
        <v>500000</v>
      </c>
      <c r="O815" s="116"/>
      <c r="P815" s="116">
        <f>P816</f>
        <v>0</v>
      </c>
      <c r="Q815" s="116">
        <f>Q816</f>
        <v>500000</v>
      </c>
      <c r="R815" s="102"/>
      <c r="S815" s="116">
        <f>S816</f>
        <v>0</v>
      </c>
    </row>
    <row r="816" spans="1:19" ht="31.5">
      <c r="A816" s="64" t="s">
        <v>161</v>
      </c>
      <c r="B816" s="31"/>
      <c r="C816" s="31" t="s">
        <v>72</v>
      </c>
      <c r="D816" s="24" t="s">
        <v>431</v>
      </c>
      <c r="E816" s="24" t="s">
        <v>136</v>
      </c>
      <c r="F816" s="80">
        <v>0</v>
      </c>
      <c r="G816" s="24" t="s">
        <v>432</v>
      </c>
      <c r="H816" s="116">
        <v>500000</v>
      </c>
      <c r="N816" s="116">
        <f>500000</f>
        <v>500000</v>
      </c>
      <c r="O816" s="116">
        <v>-500000</v>
      </c>
      <c r="P816" s="116">
        <f>N816+O816</f>
        <v>0</v>
      </c>
      <c r="Q816" s="116">
        <f>500000</f>
        <v>500000</v>
      </c>
      <c r="R816" s="102">
        <v>-500000</v>
      </c>
      <c r="S816" s="116">
        <f>Q816+R816</f>
        <v>0</v>
      </c>
    </row>
    <row r="817" spans="1:19" ht="18" customHeight="1">
      <c r="A817" s="60" t="s">
        <v>115</v>
      </c>
      <c r="B817" s="29" t="s">
        <v>77</v>
      </c>
      <c r="C817" s="30" t="s">
        <v>77</v>
      </c>
      <c r="D817" s="29"/>
      <c r="E817" s="29"/>
      <c r="F817" s="39" t="e">
        <f>#REF!+F841</f>
        <v>#REF!</v>
      </c>
      <c r="G817" s="27"/>
      <c r="H817" s="115">
        <f>H818</f>
        <v>101461000</v>
      </c>
      <c r="N817" s="115">
        <f>N818</f>
        <v>117885600</v>
      </c>
      <c r="O817" s="115"/>
      <c r="P817" s="115">
        <f>P818</f>
        <v>117885600</v>
      </c>
      <c r="Q817" s="115">
        <f>Q818</f>
        <v>123779880</v>
      </c>
      <c r="R817" s="102"/>
      <c r="S817" s="115">
        <f>S818</f>
        <v>124885600</v>
      </c>
    </row>
    <row r="818" spans="1:19" ht="47.25">
      <c r="A818" s="61" t="s">
        <v>191</v>
      </c>
      <c r="B818" s="29"/>
      <c r="C818" s="31" t="s">
        <v>77</v>
      </c>
      <c r="D818" s="31" t="s">
        <v>194</v>
      </c>
      <c r="E818" s="29"/>
      <c r="F818" s="39"/>
      <c r="G818" s="27"/>
      <c r="H818" s="115">
        <f aca="true" t="shared" si="89" ref="H818:M818">H819+H838+H840+H841</f>
        <v>101461000</v>
      </c>
      <c r="I818" s="115">
        <f t="shared" si="89"/>
        <v>0</v>
      </c>
      <c r="J818" s="115">
        <f t="shared" si="89"/>
        <v>0</v>
      </c>
      <c r="K818" s="115">
        <f t="shared" si="89"/>
        <v>0</v>
      </c>
      <c r="L818" s="115">
        <f t="shared" si="89"/>
        <v>0</v>
      </c>
      <c r="M818" s="115">
        <f t="shared" si="89"/>
        <v>0</v>
      </c>
      <c r="N818" s="115">
        <f>N819+N841+N838+N840</f>
        <v>117885600</v>
      </c>
      <c r="O818" s="115"/>
      <c r="P818" s="115">
        <f>P819+P841+P838+P840</f>
        <v>117885600</v>
      </c>
      <c r="Q818" s="115">
        <f>Q819+Q841+Q838+Q840</f>
        <v>123779880</v>
      </c>
      <c r="R818" s="102"/>
      <c r="S818" s="115">
        <f>S819+S841+S838+S840</f>
        <v>124885600</v>
      </c>
    </row>
    <row r="819" spans="1:19" ht="31.5">
      <c r="A819" s="61" t="s">
        <v>192</v>
      </c>
      <c r="B819" s="29"/>
      <c r="C819" s="31" t="s">
        <v>78</v>
      </c>
      <c r="D819" s="31" t="s">
        <v>488</v>
      </c>
      <c r="E819" s="29"/>
      <c r="F819" s="39"/>
      <c r="G819" s="27"/>
      <c r="H819" s="115">
        <f>H820+H826+H828+H833</f>
        <v>89943000</v>
      </c>
      <c r="N819" s="115">
        <f>N820+N826+N828+N833</f>
        <v>104936820</v>
      </c>
      <c r="O819" s="115"/>
      <c r="P819" s="115">
        <f>P820+P826+P828+P833</f>
        <v>104936820</v>
      </c>
      <c r="Q819" s="115">
        <f>Q820+Q826+Q828+Q833</f>
        <v>111936820</v>
      </c>
      <c r="R819" s="102"/>
      <c r="S819" s="115">
        <f>S820+S826+S828+S833</f>
        <v>111936820</v>
      </c>
    </row>
    <row r="820" spans="1:19" ht="47.25">
      <c r="A820" s="61" t="s">
        <v>193</v>
      </c>
      <c r="B820" s="29"/>
      <c r="C820" s="29" t="s">
        <v>78</v>
      </c>
      <c r="D820" s="31" t="s">
        <v>190</v>
      </c>
      <c r="E820" s="29"/>
      <c r="F820" s="39" t="e">
        <f>#REF!+F826+#REF!</f>
        <v>#REF!</v>
      </c>
      <c r="G820" s="27"/>
      <c r="H820" s="115">
        <f>H821+H822+H823+H824+H825</f>
        <v>67542540</v>
      </c>
      <c r="N820" s="115">
        <f>N821+N822+N823+N824+N825</f>
        <v>75536360</v>
      </c>
      <c r="O820" s="115"/>
      <c r="P820" s="115">
        <f>P821+P822+P823+P824+P825</f>
        <v>75536360</v>
      </c>
      <c r="Q820" s="115">
        <f>Q821+Q822+Q823+Q824+Q825</f>
        <v>79536360</v>
      </c>
      <c r="R820" s="102"/>
      <c r="S820" s="115">
        <f>S821+S822+S823+S824+S825</f>
        <v>79536360</v>
      </c>
    </row>
    <row r="821" spans="1:19" ht="15.75">
      <c r="A821" s="41" t="s">
        <v>129</v>
      </c>
      <c r="B821" s="29"/>
      <c r="C821" s="29" t="s">
        <v>78</v>
      </c>
      <c r="D821" s="31" t="s">
        <v>190</v>
      </c>
      <c r="E821" s="29" t="s">
        <v>133</v>
      </c>
      <c r="F821" s="39">
        <v>0</v>
      </c>
      <c r="G821" s="27">
        <v>24738305</v>
      </c>
      <c r="H821" s="115">
        <v>51449207</v>
      </c>
      <c r="N821" s="115">
        <v>59449207</v>
      </c>
      <c r="O821" s="115"/>
      <c r="P821" s="116">
        <f aca="true" t="shared" si="90" ref="P821:P840">N821+O821</f>
        <v>59449207</v>
      </c>
      <c r="Q821" s="115">
        <v>63449207</v>
      </c>
      <c r="R821" s="102"/>
      <c r="S821" s="116">
        <f aca="true" t="shared" si="91" ref="S821:S840">Q821+R821</f>
        <v>63449207</v>
      </c>
    </row>
    <row r="822" spans="1:19" ht="31.5">
      <c r="A822" s="41" t="s">
        <v>130</v>
      </c>
      <c r="B822" s="29"/>
      <c r="C822" s="29" t="s">
        <v>78</v>
      </c>
      <c r="D822" s="31" t="s">
        <v>190</v>
      </c>
      <c r="E822" s="29" t="s">
        <v>134</v>
      </c>
      <c r="F822" s="39">
        <v>0</v>
      </c>
      <c r="G822" s="27">
        <v>6180</v>
      </c>
      <c r="H822" s="115">
        <f>F822+G822</f>
        <v>6180</v>
      </c>
      <c r="N822" s="115">
        <f>L822+M822</f>
        <v>0</v>
      </c>
      <c r="O822" s="115"/>
      <c r="P822" s="116">
        <f t="shared" si="90"/>
        <v>0</v>
      </c>
      <c r="Q822" s="115">
        <f>M822+N822</f>
        <v>0</v>
      </c>
      <c r="R822" s="102"/>
      <c r="S822" s="116">
        <f t="shared" si="91"/>
        <v>0</v>
      </c>
    </row>
    <row r="823" spans="1:19" ht="38.25" customHeight="1">
      <c r="A823" s="41" t="s">
        <v>131</v>
      </c>
      <c r="B823" s="29"/>
      <c r="C823" s="29" t="s">
        <v>78</v>
      </c>
      <c r="D823" s="31" t="s">
        <v>190</v>
      </c>
      <c r="E823" s="29" t="s">
        <v>135</v>
      </c>
      <c r="F823" s="39">
        <v>0</v>
      </c>
      <c r="G823" s="27">
        <v>257583</v>
      </c>
      <c r="H823" s="115">
        <v>239024</v>
      </c>
      <c r="N823" s="115">
        <v>239024</v>
      </c>
      <c r="O823" s="115"/>
      <c r="P823" s="116">
        <f t="shared" si="90"/>
        <v>239024</v>
      </c>
      <c r="Q823" s="115">
        <v>239024</v>
      </c>
      <c r="R823" s="102"/>
      <c r="S823" s="116">
        <f t="shared" si="91"/>
        <v>239024</v>
      </c>
    </row>
    <row r="824" spans="1:19" ht="31.5">
      <c r="A824" s="41" t="s">
        <v>161</v>
      </c>
      <c r="B824" s="29"/>
      <c r="C824" s="29" t="s">
        <v>78</v>
      </c>
      <c r="D824" s="31" t="s">
        <v>190</v>
      </c>
      <c r="E824" s="29" t="s">
        <v>136</v>
      </c>
      <c r="F824" s="39">
        <v>0</v>
      </c>
      <c r="G824" s="27">
        <v>14588551</v>
      </c>
      <c r="H824" s="115">
        <v>15348129</v>
      </c>
      <c r="N824" s="115">
        <v>15348129</v>
      </c>
      <c r="O824" s="115"/>
      <c r="P824" s="116">
        <f t="shared" si="90"/>
        <v>15348129</v>
      </c>
      <c r="Q824" s="115">
        <v>15348129</v>
      </c>
      <c r="R824" s="102"/>
      <c r="S824" s="116">
        <f t="shared" si="91"/>
        <v>15348129</v>
      </c>
    </row>
    <row r="825" spans="1:19" ht="15.75">
      <c r="A825" s="41" t="s">
        <v>140</v>
      </c>
      <c r="B825" s="29"/>
      <c r="C825" s="29" t="s">
        <v>78</v>
      </c>
      <c r="D825" s="31" t="s">
        <v>190</v>
      </c>
      <c r="E825" s="29" t="s">
        <v>141</v>
      </c>
      <c r="F825" s="39">
        <v>0</v>
      </c>
      <c r="G825" s="27">
        <v>150000</v>
      </c>
      <c r="H825" s="115">
        <v>500000</v>
      </c>
      <c r="N825" s="115">
        <v>500000</v>
      </c>
      <c r="O825" s="115"/>
      <c r="P825" s="116">
        <f t="shared" si="90"/>
        <v>500000</v>
      </c>
      <c r="Q825" s="115">
        <v>500000</v>
      </c>
      <c r="R825" s="102"/>
      <c r="S825" s="116">
        <f t="shared" si="91"/>
        <v>500000</v>
      </c>
    </row>
    <row r="826" spans="1:19" ht="63">
      <c r="A826" s="99" t="s">
        <v>195</v>
      </c>
      <c r="B826" s="29"/>
      <c r="C826" s="29" t="s">
        <v>78</v>
      </c>
      <c r="D826" s="31" t="s">
        <v>198</v>
      </c>
      <c r="E826" s="29"/>
      <c r="F826" s="39" t="e">
        <f>#REF!+F827+#REF!+#REF!+#REF!</f>
        <v>#REF!</v>
      </c>
      <c r="G826" s="27"/>
      <c r="H826" s="115">
        <f>H827</f>
        <v>900000</v>
      </c>
      <c r="I826" s="115">
        <f aca="true" t="shared" si="92" ref="I826:S826">I827</f>
        <v>0</v>
      </c>
      <c r="J826" s="115">
        <f t="shared" si="92"/>
        <v>0</v>
      </c>
      <c r="K826" s="115">
        <f t="shared" si="92"/>
        <v>0</v>
      </c>
      <c r="L826" s="115">
        <f t="shared" si="92"/>
        <v>0</v>
      </c>
      <c r="M826" s="115">
        <f t="shared" si="92"/>
        <v>0</v>
      </c>
      <c r="N826" s="115">
        <f t="shared" si="92"/>
        <v>900000</v>
      </c>
      <c r="O826" s="115"/>
      <c r="P826" s="115">
        <f t="shared" si="92"/>
        <v>900000</v>
      </c>
      <c r="Q826" s="115">
        <f t="shared" si="92"/>
        <v>900000</v>
      </c>
      <c r="R826" s="102"/>
      <c r="S826" s="115">
        <f t="shared" si="92"/>
        <v>900000</v>
      </c>
    </row>
    <row r="827" spans="1:19" ht="31.5">
      <c r="A827" s="41" t="s">
        <v>161</v>
      </c>
      <c r="B827" s="29"/>
      <c r="C827" s="29" t="s">
        <v>78</v>
      </c>
      <c r="D827" s="31" t="s">
        <v>198</v>
      </c>
      <c r="E827" s="29" t="s">
        <v>136</v>
      </c>
      <c r="F827" s="39">
        <v>0</v>
      </c>
      <c r="G827" s="27">
        <v>685000</v>
      </c>
      <c r="H827" s="115">
        <v>900000</v>
      </c>
      <c r="N827" s="115">
        <v>900000</v>
      </c>
      <c r="O827" s="115"/>
      <c r="P827" s="116">
        <f t="shared" si="90"/>
        <v>900000</v>
      </c>
      <c r="Q827" s="115">
        <v>900000</v>
      </c>
      <c r="R827" s="102"/>
      <c r="S827" s="116">
        <f t="shared" si="91"/>
        <v>900000</v>
      </c>
    </row>
    <row r="828" spans="1:19" ht="51" customHeight="1">
      <c r="A828" s="99" t="s">
        <v>196</v>
      </c>
      <c r="B828" s="29"/>
      <c r="C828" s="29" t="s">
        <v>78</v>
      </c>
      <c r="D828" s="31" t="s">
        <v>199</v>
      </c>
      <c r="E828" s="29"/>
      <c r="F828" s="39" t="e">
        <f>#REF!</f>
        <v>#REF!</v>
      </c>
      <c r="G828" s="27"/>
      <c r="H828" s="115">
        <f aca="true" t="shared" si="93" ref="H828:Q828">H829+H830+H831+H832</f>
        <v>18902000</v>
      </c>
      <c r="I828" s="115">
        <f t="shared" si="93"/>
        <v>0</v>
      </c>
      <c r="J828" s="115">
        <f t="shared" si="93"/>
        <v>0</v>
      </c>
      <c r="K828" s="115">
        <f t="shared" si="93"/>
        <v>0</v>
      </c>
      <c r="L828" s="115">
        <f t="shared" si="93"/>
        <v>0</v>
      </c>
      <c r="M828" s="115">
        <f t="shared" si="93"/>
        <v>0</v>
      </c>
      <c r="N828" s="115">
        <f t="shared" si="93"/>
        <v>25902000</v>
      </c>
      <c r="O828" s="115"/>
      <c r="P828" s="115">
        <f t="shared" si="93"/>
        <v>25902000</v>
      </c>
      <c r="Q828" s="115">
        <f t="shared" si="93"/>
        <v>28902000</v>
      </c>
      <c r="R828" s="102"/>
      <c r="S828" s="115">
        <f>S829+S830+S831+S832</f>
        <v>28902000</v>
      </c>
    </row>
    <row r="829" spans="1:19" ht="15.75">
      <c r="A829" s="41" t="s">
        <v>129</v>
      </c>
      <c r="B829" s="29"/>
      <c r="C829" s="29" t="s">
        <v>78</v>
      </c>
      <c r="D829" s="31" t="s">
        <v>199</v>
      </c>
      <c r="E829" s="29" t="s">
        <v>133</v>
      </c>
      <c r="F829" s="39">
        <v>0</v>
      </c>
      <c r="G829" s="27">
        <v>8880042</v>
      </c>
      <c r="H829" s="115">
        <v>16096139</v>
      </c>
      <c r="N829" s="115">
        <v>23096139</v>
      </c>
      <c r="O829" s="115"/>
      <c r="P829" s="116">
        <f t="shared" si="90"/>
        <v>23096139</v>
      </c>
      <c r="Q829" s="115">
        <v>26096139</v>
      </c>
      <c r="R829" s="102"/>
      <c r="S829" s="116">
        <f t="shared" si="91"/>
        <v>26096139</v>
      </c>
    </row>
    <row r="830" spans="1:19" ht="31.5">
      <c r="A830" s="41" t="s">
        <v>130</v>
      </c>
      <c r="B830" s="29"/>
      <c r="C830" s="29" t="s">
        <v>78</v>
      </c>
      <c r="D830" s="31" t="s">
        <v>199</v>
      </c>
      <c r="E830" s="29" t="s">
        <v>134</v>
      </c>
      <c r="F830" s="39">
        <v>0</v>
      </c>
      <c r="G830" s="27">
        <v>13327</v>
      </c>
      <c r="H830" s="115">
        <v>20000</v>
      </c>
      <c r="N830" s="115">
        <v>20000</v>
      </c>
      <c r="O830" s="115"/>
      <c r="P830" s="116">
        <f t="shared" si="90"/>
        <v>20000</v>
      </c>
      <c r="Q830" s="115">
        <v>20000</v>
      </c>
      <c r="R830" s="102"/>
      <c r="S830" s="116">
        <f t="shared" si="91"/>
        <v>20000</v>
      </c>
    </row>
    <row r="831" spans="1:19" ht="37.5" customHeight="1">
      <c r="A831" s="41" t="s">
        <v>131</v>
      </c>
      <c r="B831" s="29"/>
      <c r="C831" s="29" t="s">
        <v>78</v>
      </c>
      <c r="D831" s="31" t="s">
        <v>199</v>
      </c>
      <c r="E831" s="29" t="s">
        <v>135</v>
      </c>
      <c r="F831" s="39">
        <v>0</v>
      </c>
      <c r="G831" s="27">
        <v>246100</v>
      </c>
      <c r="H831" s="115">
        <v>672655</v>
      </c>
      <c r="N831" s="115">
        <v>672655</v>
      </c>
      <c r="O831" s="115"/>
      <c r="P831" s="116">
        <f t="shared" si="90"/>
        <v>672655</v>
      </c>
      <c r="Q831" s="115">
        <v>672655</v>
      </c>
      <c r="R831" s="102"/>
      <c r="S831" s="116">
        <f t="shared" si="91"/>
        <v>672655</v>
      </c>
    </row>
    <row r="832" spans="1:19" ht="31.5">
      <c r="A832" s="41" t="s">
        <v>161</v>
      </c>
      <c r="B832" s="29"/>
      <c r="C832" s="29" t="s">
        <v>78</v>
      </c>
      <c r="D832" s="31" t="s">
        <v>199</v>
      </c>
      <c r="E832" s="29" t="s">
        <v>136</v>
      </c>
      <c r="F832" s="39">
        <v>0</v>
      </c>
      <c r="G832" s="27">
        <v>1792922</v>
      </c>
      <c r="H832" s="115">
        <v>2113206</v>
      </c>
      <c r="N832" s="115">
        <v>2113206</v>
      </c>
      <c r="O832" s="115"/>
      <c r="P832" s="116">
        <f t="shared" si="90"/>
        <v>2113206</v>
      </c>
      <c r="Q832" s="115">
        <v>2113206</v>
      </c>
      <c r="R832" s="102"/>
      <c r="S832" s="116">
        <f t="shared" si="91"/>
        <v>2113206</v>
      </c>
    </row>
    <row r="833" spans="1:19" ht="31.5">
      <c r="A833" s="99" t="s">
        <v>197</v>
      </c>
      <c r="B833" s="29"/>
      <c r="C833" s="29" t="s">
        <v>78</v>
      </c>
      <c r="D833" s="31" t="s">
        <v>200</v>
      </c>
      <c r="E833" s="29"/>
      <c r="F833" s="39" t="e">
        <f>F834+F835+#REF!</f>
        <v>#REF!</v>
      </c>
      <c r="G833" s="27"/>
      <c r="H833" s="115">
        <f>H834+H835</f>
        <v>2598460</v>
      </c>
      <c r="I833" s="115">
        <f aca="true" t="shared" si="94" ref="I833:Q833">I834+I835</f>
        <v>0</v>
      </c>
      <c r="J833" s="115">
        <f t="shared" si="94"/>
        <v>0</v>
      </c>
      <c r="K833" s="115">
        <f t="shared" si="94"/>
        <v>0</v>
      </c>
      <c r="L833" s="115">
        <f t="shared" si="94"/>
        <v>0</v>
      </c>
      <c r="M833" s="115">
        <f t="shared" si="94"/>
        <v>0</v>
      </c>
      <c r="N833" s="115">
        <f t="shared" si="94"/>
        <v>2598460</v>
      </c>
      <c r="O833" s="115"/>
      <c r="P833" s="115">
        <f t="shared" si="94"/>
        <v>2598460</v>
      </c>
      <c r="Q833" s="115">
        <f t="shared" si="94"/>
        <v>2598460</v>
      </c>
      <c r="R833" s="102"/>
      <c r="S833" s="115">
        <f>S834+S835</f>
        <v>2598460</v>
      </c>
    </row>
    <row r="834" spans="1:19" ht="15.75">
      <c r="A834" s="41" t="s">
        <v>129</v>
      </c>
      <c r="B834" s="29"/>
      <c r="C834" s="29" t="s">
        <v>78</v>
      </c>
      <c r="D834" s="31" t="s">
        <v>200</v>
      </c>
      <c r="E834" s="29" t="s">
        <v>133</v>
      </c>
      <c r="F834" s="39">
        <v>0</v>
      </c>
      <c r="G834" s="27">
        <v>1552790</v>
      </c>
      <c r="H834" s="115">
        <v>2572460</v>
      </c>
      <c r="N834" s="115">
        <v>2572460</v>
      </c>
      <c r="O834" s="115"/>
      <c r="P834" s="116">
        <f t="shared" si="90"/>
        <v>2572460</v>
      </c>
      <c r="Q834" s="115">
        <v>2572460</v>
      </c>
      <c r="R834" s="102"/>
      <c r="S834" s="116">
        <f t="shared" si="91"/>
        <v>2572460</v>
      </c>
    </row>
    <row r="835" spans="1:19" ht="31.5">
      <c r="A835" s="41" t="s">
        <v>130</v>
      </c>
      <c r="B835" s="29"/>
      <c r="C835" s="29" t="s">
        <v>78</v>
      </c>
      <c r="D835" s="31" t="s">
        <v>200</v>
      </c>
      <c r="E835" s="29" t="s">
        <v>134</v>
      </c>
      <c r="F835" s="39">
        <v>0</v>
      </c>
      <c r="G835" s="27">
        <v>20000</v>
      </c>
      <c r="H835" s="115">
        <v>26000</v>
      </c>
      <c r="N835" s="115">
        <v>26000</v>
      </c>
      <c r="O835" s="115"/>
      <c r="P835" s="116">
        <f t="shared" si="90"/>
        <v>26000</v>
      </c>
      <c r="Q835" s="115">
        <v>26000</v>
      </c>
      <c r="R835" s="102"/>
      <c r="S835" s="116">
        <f t="shared" si="91"/>
        <v>26000</v>
      </c>
    </row>
    <row r="836" spans="1:19" ht="31.5">
      <c r="A836" s="61" t="s">
        <v>192</v>
      </c>
      <c r="B836" s="29"/>
      <c r="C836" s="31" t="s">
        <v>114</v>
      </c>
      <c r="D836" s="31" t="s">
        <v>488</v>
      </c>
      <c r="E836" s="29"/>
      <c r="F836" s="39"/>
      <c r="G836" s="27"/>
      <c r="H836" s="115"/>
      <c r="N836" s="115">
        <f>N838+N840</f>
        <v>12480780</v>
      </c>
      <c r="O836" s="115"/>
      <c r="P836" s="115">
        <f>P838+P840</f>
        <v>12480780</v>
      </c>
      <c r="Q836" s="115">
        <f>Q838+Q840</f>
        <v>11375060</v>
      </c>
      <c r="R836" s="102"/>
      <c r="S836" s="115">
        <f>S837+S839</f>
        <v>12480780</v>
      </c>
    </row>
    <row r="837" spans="1:19" ht="34.5" customHeight="1">
      <c r="A837" s="33" t="s">
        <v>203</v>
      </c>
      <c r="B837" s="29"/>
      <c r="C837" s="24" t="s">
        <v>114</v>
      </c>
      <c r="D837" s="31" t="s">
        <v>204</v>
      </c>
      <c r="E837" s="29"/>
      <c r="F837" s="39"/>
      <c r="G837" s="27"/>
      <c r="H837" s="115"/>
      <c r="N837" s="115">
        <f>N838</f>
        <v>11880780</v>
      </c>
      <c r="O837" s="115"/>
      <c r="P837" s="115">
        <f>P838</f>
        <v>11880780</v>
      </c>
      <c r="Q837" s="115"/>
      <c r="R837" s="102"/>
      <c r="S837" s="115">
        <f>S838</f>
        <v>11880780</v>
      </c>
    </row>
    <row r="838" spans="1:19" ht="47.25">
      <c r="A838" s="132" t="s">
        <v>306</v>
      </c>
      <c r="B838" s="18"/>
      <c r="C838" s="24" t="s">
        <v>114</v>
      </c>
      <c r="D838" s="31" t="s">
        <v>204</v>
      </c>
      <c r="E838" s="24" t="s">
        <v>138</v>
      </c>
      <c r="F838" s="39"/>
      <c r="G838" s="27"/>
      <c r="H838" s="115">
        <v>10450000</v>
      </c>
      <c r="N838" s="115">
        <v>11880780</v>
      </c>
      <c r="O838" s="115"/>
      <c r="P838" s="116">
        <f t="shared" si="90"/>
        <v>11880780</v>
      </c>
      <c r="Q838" s="115">
        <v>10775060</v>
      </c>
      <c r="R838" s="102"/>
      <c r="S838" s="116">
        <f>R838+P838</f>
        <v>11880780</v>
      </c>
    </row>
    <row r="839" spans="1:19" ht="42" customHeight="1">
      <c r="A839" s="33" t="s">
        <v>201</v>
      </c>
      <c r="B839" s="18"/>
      <c r="C839" s="24" t="s">
        <v>114</v>
      </c>
      <c r="D839" s="31" t="s">
        <v>202</v>
      </c>
      <c r="E839" s="24"/>
      <c r="F839" s="39"/>
      <c r="G839" s="27"/>
      <c r="H839" s="115"/>
      <c r="N839" s="115">
        <f>N840</f>
        <v>600000</v>
      </c>
      <c r="O839" s="115"/>
      <c r="P839" s="116">
        <f>P840</f>
        <v>600000</v>
      </c>
      <c r="Q839" s="115"/>
      <c r="R839" s="102"/>
      <c r="S839" s="116">
        <f>S840</f>
        <v>600000</v>
      </c>
    </row>
    <row r="840" spans="1:19" ht="34.5" customHeight="1">
      <c r="A840" s="41" t="s">
        <v>161</v>
      </c>
      <c r="B840" s="18" t="s">
        <v>171</v>
      </c>
      <c r="C840" s="24" t="s">
        <v>114</v>
      </c>
      <c r="D840" s="31" t="s">
        <v>202</v>
      </c>
      <c r="E840" s="24" t="s">
        <v>136</v>
      </c>
      <c r="F840" s="39">
        <v>0</v>
      </c>
      <c r="G840" s="27">
        <v>0</v>
      </c>
      <c r="H840" s="115">
        <v>600000</v>
      </c>
      <c r="N840" s="115">
        <v>600000</v>
      </c>
      <c r="O840" s="115"/>
      <c r="P840" s="116">
        <f t="shared" si="90"/>
        <v>600000</v>
      </c>
      <c r="Q840" s="115">
        <v>600000</v>
      </c>
      <c r="R840" s="102"/>
      <c r="S840" s="116">
        <f t="shared" si="91"/>
        <v>600000</v>
      </c>
    </row>
    <row r="841" spans="1:19" ht="63">
      <c r="A841" s="33" t="s">
        <v>205</v>
      </c>
      <c r="B841" s="12"/>
      <c r="C841" s="29" t="s">
        <v>114</v>
      </c>
      <c r="D841" s="31" t="s">
        <v>207</v>
      </c>
      <c r="E841" s="29"/>
      <c r="F841" s="39" t="e">
        <f>F842+#REF!+#REF!</f>
        <v>#REF!</v>
      </c>
      <c r="G841" s="27"/>
      <c r="H841" s="115">
        <f>H842</f>
        <v>468000</v>
      </c>
      <c r="N841" s="115">
        <f>N842</f>
        <v>468000</v>
      </c>
      <c r="O841" s="115"/>
      <c r="P841" s="115">
        <f>P842</f>
        <v>468000</v>
      </c>
      <c r="Q841" s="115">
        <f>Q842</f>
        <v>468000</v>
      </c>
      <c r="R841" s="102"/>
      <c r="S841" s="115">
        <f>S842</f>
        <v>468000</v>
      </c>
    </row>
    <row r="842" spans="1:19" ht="31.5">
      <c r="A842" s="55" t="s">
        <v>206</v>
      </c>
      <c r="B842" s="12"/>
      <c r="C842" s="29" t="s">
        <v>114</v>
      </c>
      <c r="D842" s="31" t="s">
        <v>422</v>
      </c>
      <c r="E842" s="29"/>
      <c r="F842" s="39">
        <f>F843+F844+F845</f>
        <v>0</v>
      </c>
      <c r="G842" s="27"/>
      <c r="H842" s="115">
        <f>H843+H844+H845</f>
        <v>468000</v>
      </c>
      <c r="I842" s="115">
        <f aca="true" t="shared" si="95" ref="I842:Q842">I843+I844+I845</f>
        <v>0</v>
      </c>
      <c r="J842" s="115">
        <f t="shared" si="95"/>
        <v>0</v>
      </c>
      <c r="K842" s="115">
        <f t="shared" si="95"/>
        <v>0</v>
      </c>
      <c r="L842" s="115">
        <f t="shared" si="95"/>
        <v>0</v>
      </c>
      <c r="M842" s="115">
        <f t="shared" si="95"/>
        <v>0</v>
      </c>
      <c r="N842" s="115">
        <f t="shared" si="95"/>
        <v>468000</v>
      </c>
      <c r="O842" s="115"/>
      <c r="P842" s="115">
        <f>P843+P844+P845</f>
        <v>468000</v>
      </c>
      <c r="Q842" s="115">
        <f t="shared" si="95"/>
        <v>468000</v>
      </c>
      <c r="R842" s="102"/>
      <c r="S842" s="115">
        <f>S843+S844+S845</f>
        <v>468000</v>
      </c>
    </row>
    <row r="843" spans="1:19" ht="15.75">
      <c r="A843" s="41" t="s">
        <v>129</v>
      </c>
      <c r="B843" s="12"/>
      <c r="C843" s="29" t="s">
        <v>114</v>
      </c>
      <c r="D843" s="31" t="s">
        <v>422</v>
      </c>
      <c r="E843" s="29" t="s">
        <v>146</v>
      </c>
      <c r="F843" s="39">
        <v>0</v>
      </c>
      <c r="G843" s="27">
        <v>426546</v>
      </c>
      <c r="H843" s="115">
        <v>462526</v>
      </c>
      <c r="N843" s="115">
        <v>462526</v>
      </c>
      <c r="O843" s="115"/>
      <c r="P843" s="116">
        <f>N843+O843</f>
        <v>462526</v>
      </c>
      <c r="Q843" s="115">
        <v>462526</v>
      </c>
      <c r="R843" s="102"/>
      <c r="S843" s="116">
        <f>Q843+R843</f>
        <v>462526</v>
      </c>
    </row>
    <row r="844" spans="1:19" ht="31.5">
      <c r="A844" s="41" t="s">
        <v>130</v>
      </c>
      <c r="B844" s="12"/>
      <c r="C844" s="29" t="s">
        <v>114</v>
      </c>
      <c r="D844" s="31" t="s">
        <v>422</v>
      </c>
      <c r="E844" s="29" t="s">
        <v>147</v>
      </c>
      <c r="F844" s="39">
        <v>0</v>
      </c>
      <c r="G844" s="27">
        <v>4800</v>
      </c>
      <c r="H844" s="115">
        <v>5000</v>
      </c>
      <c r="N844" s="115">
        <v>5000</v>
      </c>
      <c r="O844" s="115"/>
      <c r="P844" s="116">
        <f>N844+O844</f>
        <v>5000</v>
      </c>
      <c r="Q844" s="115">
        <v>5000</v>
      </c>
      <c r="R844" s="102"/>
      <c r="S844" s="116">
        <f>Q844+R844</f>
        <v>5000</v>
      </c>
    </row>
    <row r="845" spans="1:19" ht="31.5">
      <c r="A845" s="41" t="s">
        <v>161</v>
      </c>
      <c r="B845" s="12"/>
      <c r="C845" s="29" t="s">
        <v>114</v>
      </c>
      <c r="D845" s="31" t="s">
        <v>422</v>
      </c>
      <c r="E845" s="29" t="s">
        <v>136</v>
      </c>
      <c r="F845" s="39">
        <v>0</v>
      </c>
      <c r="G845" s="27">
        <v>894</v>
      </c>
      <c r="H845" s="115">
        <v>474</v>
      </c>
      <c r="N845" s="124">
        <v>474</v>
      </c>
      <c r="O845" s="124"/>
      <c r="P845" s="116">
        <f>N845+O845</f>
        <v>474</v>
      </c>
      <c r="Q845" s="124">
        <v>474</v>
      </c>
      <c r="R845" s="102"/>
      <c r="S845" s="116">
        <f>Q845+R845</f>
        <v>474</v>
      </c>
    </row>
    <row r="846" spans="1:19" s="138" customFormat="1" ht="15.75">
      <c r="A846" s="60" t="s">
        <v>79</v>
      </c>
      <c r="B846" s="30">
        <v>1000</v>
      </c>
      <c r="C846" s="30" t="s">
        <v>103</v>
      </c>
      <c r="D846" s="30"/>
      <c r="E846" s="30"/>
      <c r="F846" s="155" t="e">
        <f>F848+#REF!+#REF!+F862</f>
        <v>#REF!</v>
      </c>
      <c r="G846" s="136"/>
      <c r="H846" s="137">
        <f>H848</f>
        <v>5600800</v>
      </c>
      <c r="I846" s="137">
        <f aca="true" t="shared" si="96" ref="I846:Q846">I848</f>
        <v>0</v>
      </c>
      <c r="J846" s="137">
        <f t="shared" si="96"/>
        <v>0</v>
      </c>
      <c r="K846" s="137">
        <f t="shared" si="96"/>
        <v>0</v>
      </c>
      <c r="L846" s="137">
        <f t="shared" si="96"/>
        <v>0</v>
      </c>
      <c r="M846" s="137">
        <f t="shared" si="96"/>
        <v>0</v>
      </c>
      <c r="N846" s="137">
        <f t="shared" si="96"/>
        <v>219000</v>
      </c>
      <c r="O846" s="137"/>
      <c r="P846" s="137">
        <f>P848</f>
        <v>219000</v>
      </c>
      <c r="Q846" s="137">
        <f t="shared" si="96"/>
        <v>230000</v>
      </c>
      <c r="R846" s="187"/>
      <c r="S846" s="137">
        <f>S848</f>
        <v>230000</v>
      </c>
    </row>
    <row r="847" spans="1:19" ht="15.75">
      <c r="A847" s="60" t="s">
        <v>416</v>
      </c>
      <c r="B847" s="29"/>
      <c r="C847" s="30" t="s">
        <v>83</v>
      </c>
      <c r="D847" s="31" t="s">
        <v>181</v>
      </c>
      <c r="E847" s="29"/>
      <c r="F847" s="39"/>
      <c r="G847" s="27"/>
      <c r="H847" s="115">
        <f>H848</f>
        <v>5600800</v>
      </c>
      <c r="N847" s="115">
        <f>N848</f>
        <v>219000</v>
      </c>
      <c r="O847" s="115"/>
      <c r="P847" s="115">
        <f>P848</f>
        <v>219000</v>
      </c>
      <c r="Q847" s="115">
        <f>Q848</f>
        <v>230000</v>
      </c>
      <c r="R847" s="102"/>
      <c r="S847" s="115">
        <f>S848</f>
        <v>230000</v>
      </c>
    </row>
    <row r="848" spans="1:19" ht="15.75">
      <c r="A848" s="61" t="s">
        <v>82</v>
      </c>
      <c r="B848" s="29"/>
      <c r="C848" s="29" t="s">
        <v>83</v>
      </c>
      <c r="D848" s="31" t="s">
        <v>417</v>
      </c>
      <c r="E848" s="29"/>
      <c r="F848" s="39" t="e">
        <f>#REF!</f>
        <v>#REF!</v>
      </c>
      <c r="G848" s="27"/>
      <c r="H848" s="115">
        <f>H849</f>
        <v>5600800</v>
      </c>
      <c r="N848" s="115">
        <f>N849</f>
        <v>219000</v>
      </c>
      <c r="O848" s="115"/>
      <c r="P848" s="115">
        <f>P849</f>
        <v>219000</v>
      </c>
      <c r="Q848" s="115">
        <f>Q849</f>
        <v>230000</v>
      </c>
      <c r="R848" s="102"/>
      <c r="S848" s="115">
        <f>S849</f>
        <v>230000</v>
      </c>
    </row>
    <row r="849" spans="1:19" ht="33" customHeight="1">
      <c r="A849" s="61" t="s">
        <v>529</v>
      </c>
      <c r="B849" s="29" t="s">
        <v>116</v>
      </c>
      <c r="C849" s="29" t="s">
        <v>83</v>
      </c>
      <c r="D849" s="31" t="s">
        <v>344</v>
      </c>
      <c r="E849" s="29" t="s">
        <v>154</v>
      </c>
      <c r="F849" s="39">
        <v>0</v>
      </c>
      <c r="G849" s="27">
        <v>4747900</v>
      </c>
      <c r="H849" s="115">
        <v>5600800</v>
      </c>
      <c r="N849" s="115">
        <v>219000</v>
      </c>
      <c r="O849" s="115"/>
      <c r="P849" s="116">
        <f>N849+O849</f>
        <v>219000</v>
      </c>
      <c r="Q849" s="115">
        <v>230000</v>
      </c>
      <c r="R849" s="102"/>
      <c r="S849" s="116">
        <f>Q849+R849</f>
        <v>230000</v>
      </c>
    </row>
    <row r="850" spans="1:19" ht="15.75">
      <c r="A850" s="50" t="s">
        <v>121</v>
      </c>
      <c r="B850" s="23"/>
      <c r="C850" s="26" t="s">
        <v>122</v>
      </c>
      <c r="D850" s="23"/>
      <c r="E850" s="23"/>
      <c r="F850" s="39" t="e">
        <f>F851+#REF!</f>
        <v>#REF!</v>
      </c>
      <c r="G850" s="27"/>
      <c r="H850" s="115">
        <f>H851</f>
        <v>1465000</v>
      </c>
      <c r="N850" s="124">
        <f>N851</f>
        <v>1707000</v>
      </c>
      <c r="O850" s="124"/>
      <c r="P850" s="124">
        <f>P851</f>
        <v>1707000</v>
      </c>
      <c r="Q850" s="124">
        <f>Q851</f>
        <v>1793000</v>
      </c>
      <c r="R850" s="102"/>
      <c r="S850" s="124">
        <f>S851</f>
        <v>1793000</v>
      </c>
    </row>
    <row r="851" spans="1:19" ht="78.75">
      <c r="A851" s="161" t="s">
        <v>217</v>
      </c>
      <c r="B851" s="29"/>
      <c r="C851" s="29" t="s">
        <v>122</v>
      </c>
      <c r="D851" s="31" t="s">
        <v>215</v>
      </c>
      <c r="E851" s="29"/>
      <c r="F851" s="39" t="e">
        <f>F852</f>
        <v>#REF!</v>
      </c>
      <c r="G851" s="27"/>
      <c r="H851" s="115">
        <f>H852</f>
        <v>1465000</v>
      </c>
      <c r="N851" s="115">
        <f>N852</f>
        <v>1707000</v>
      </c>
      <c r="O851" s="115"/>
      <c r="P851" s="115">
        <f>P852</f>
        <v>1707000</v>
      </c>
      <c r="Q851" s="115">
        <f>Q852</f>
        <v>1793000</v>
      </c>
      <c r="R851" s="102"/>
      <c r="S851" s="115">
        <f>S852</f>
        <v>1793000</v>
      </c>
    </row>
    <row r="852" spans="1:19" ht="63">
      <c r="A852" s="36" t="s">
        <v>216</v>
      </c>
      <c r="B852" s="29"/>
      <c r="C852" s="29" t="s">
        <v>122</v>
      </c>
      <c r="D852" s="40" t="s">
        <v>489</v>
      </c>
      <c r="E852" s="29"/>
      <c r="F852" s="39" t="e">
        <f>#REF!+#REF!+F853</f>
        <v>#REF!</v>
      </c>
      <c r="G852" s="27"/>
      <c r="H852" s="115">
        <f>H853+H854</f>
        <v>1465000</v>
      </c>
      <c r="N852" s="115">
        <f>N853+N854</f>
        <v>1707000</v>
      </c>
      <c r="O852" s="115"/>
      <c r="P852" s="115">
        <f>P853+P854</f>
        <v>1707000</v>
      </c>
      <c r="Q852" s="115">
        <f>Q853+Q854</f>
        <v>1793000</v>
      </c>
      <c r="R852" s="102"/>
      <c r="S852" s="115">
        <f>S853+S854</f>
        <v>1793000</v>
      </c>
    </row>
    <row r="853" spans="1:19" ht="31.5">
      <c r="A853" s="41" t="s">
        <v>161</v>
      </c>
      <c r="B853" s="29"/>
      <c r="C853" s="29" t="s">
        <v>122</v>
      </c>
      <c r="D853" s="40" t="s">
        <v>218</v>
      </c>
      <c r="E853" s="31" t="s">
        <v>136</v>
      </c>
      <c r="F853" s="39">
        <v>0</v>
      </c>
      <c r="G853" s="27">
        <v>722000</v>
      </c>
      <c r="H853" s="125">
        <v>38674</v>
      </c>
      <c r="N853" s="125">
        <v>38674</v>
      </c>
      <c r="O853" s="125"/>
      <c r="P853" s="116">
        <f>N853+O853</f>
        <v>38674</v>
      </c>
      <c r="Q853" s="125">
        <v>38674</v>
      </c>
      <c r="R853" s="102"/>
      <c r="S853" s="116">
        <f>Q853+R853</f>
        <v>38674</v>
      </c>
    </row>
    <row r="854" spans="1:19" ht="15" customHeight="1">
      <c r="A854" s="41" t="s">
        <v>140</v>
      </c>
      <c r="B854" s="29" t="s">
        <v>110</v>
      </c>
      <c r="C854" s="29" t="s">
        <v>122</v>
      </c>
      <c r="D854" s="40" t="s">
        <v>218</v>
      </c>
      <c r="E854" s="29" t="s">
        <v>141</v>
      </c>
      <c r="F854" s="39">
        <v>0</v>
      </c>
      <c r="G854" s="27">
        <v>730000</v>
      </c>
      <c r="H854" s="125">
        <v>1426326</v>
      </c>
      <c r="N854" s="125">
        <v>1668326</v>
      </c>
      <c r="O854" s="125"/>
      <c r="P854" s="116">
        <f>N854+O854</f>
        <v>1668326</v>
      </c>
      <c r="Q854" s="125">
        <v>1754326</v>
      </c>
      <c r="R854" s="102"/>
      <c r="S854" s="116">
        <f>Q854+R854</f>
        <v>1754326</v>
      </c>
    </row>
    <row r="855" spans="1:19" ht="47.25" customHeight="1">
      <c r="A855" s="56" t="s">
        <v>409</v>
      </c>
      <c r="B855" s="29" t="s">
        <v>110</v>
      </c>
      <c r="C855" s="30" t="s">
        <v>119</v>
      </c>
      <c r="D855" s="31" t="s">
        <v>182</v>
      </c>
      <c r="E855" s="29"/>
      <c r="F855" s="80" t="e">
        <f>#REF!</f>
        <v>#REF!</v>
      </c>
      <c r="G855" s="78"/>
      <c r="H855" s="126">
        <f>H856</f>
        <v>1517300</v>
      </c>
      <c r="N855" s="126">
        <f>N856</f>
        <v>78110</v>
      </c>
      <c r="O855" s="126"/>
      <c r="P855" s="126">
        <f>P856</f>
        <v>78110</v>
      </c>
      <c r="Q855" s="126">
        <f>Q856</f>
        <v>2000</v>
      </c>
      <c r="R855" s="102"/>
      <c r="S855" s="126">
        <f>S856</f>
        <v>2000</v>
      </c>
    </row>
    <row r="856" spans="1:19" ht="31.5">
      <c r="A856" s="33" t="s">
        <v>186</v>
      </c>
      <c r="B856" s="29"/>
      <c r="C856" s="31" t="s">
        <v>120</v>
      </c>
      <c r="D856" s="31" t="s">
        <v>418</v>
      </c>
      <c r="E856" s="29"/>
      <c r="F856" s="80"/>
      <c r="G856" s="78"/>
      <c r="H856" s="126">
        <f>H857</f>
        <v>1517300</v>
      </c>
      <c r="N856" s="126">
        <f>N857</f>
        <v>78110</v>
      </c>
      <c r="O856" s="126"/>
      <c r="P856" s="126">
        <f>P857</f>
        <v>78110</v>
      </c>
      <c r="Q856" s="126">
        <f>Q857</f>
        <v>2000</v>
      </c>
      <c r="R856" s="102"/>
      <c r="S856" s="126">
        <f>S857</f>
        <v>2000</v>
      </c>
    </row>
    <row r="857" spans="1:19" ht="27" customHeight="1">
      <c r="A857" s="41" t="s">
        <v>124</v>
      </c>
      <c r="B857" s="29" t="s">
        <v>110</v>
      </c>
      <c r="C857" s="29" t="s">
        <v>120</v>
      </c>
      <c r="D857" s="31" t="s">
        <v>419</v>
      </c>
      <c r="E857" s="29" t="s">
        <v>152</v>
      </c>
      <c r="F857" s="139">
        <v>0</v>
      </c>
      <c r="G857" s="140">
        <v>2987900</v>
      </c>
      <c r="H857" s="141">
        <v>1517300</v>
      </c>
      <c r="N857" s="141">
        <v>78110</v>
      </c>
      <c r="O857" s="141"/>
      <c r="P857" s="116">
        <f>N857+O857</f>
        <v>78110</v>
      </c>
      <c r="Q857" s="141">
        <v>2000</v>
      </c>
      <c r="R857" s="102"/>
      <c r="S857" s="116">
        <f>Q857+R857</f>
        <v>2000</v>
      </c>
    </row>
    <row r="858" spans="1:19" ht="15.75">
      <c r="A858" s="239" t="s">
        <v>371</v>
      </c>
      <c r="B858" s="31"/>
      <c r="C858" s="243" t="s">
        <v>123</v>
      </c>
      <c r="D858" s="243" t="s">
        <v>374</v>
      </c>
      <c r="E858" s="243"/>
      <c r="F858" s="154"/>
      <c r="G858" s="31"/>
      <c r="H858" s="104">
        <f>H860</f>
        <v>209000</v>
      </c>
      <c r="I858" s="105"/>
      <c r="J858" s="105"/>
      <c r="K858" s="105"/>
      <c r="L858" s="105"/>
      <c r="M858" s="105"/>
      <c r="N858" s="219">
        <f>N860</f>
        <v>0</v>
      </c>
      <c r="O858" s="110"/>
      <c r="P858" s="219">
        <f>P860</f>
        <v>0</v>
      </c>
      <c r="Q858" s="219">
        <f>Q860</f>
        <v>0</v>
      </c>
      <c r="R858" s="224"/>
      <c r="S858" s="219">
        <f>S860</f>
        <v>0</v>
      </c>
    </row>
    <row r="859" spans="1:19" ht="15.75">
      <c r="A859" s="239"/>
      <c r="B859" s="31"/>
      <c r="C859" s="244"/>
      <c r="D859" s="244"/>
      <c r="E859" s="244"/>
      <c r="F859" s="154"/>
      <c r="G859" s="31"/>
      <c r="H859" s="104"/>
      <c r="I859" s="105"/>
      <c r="J859" s="105"/>
      <c r="K859" s="105"/>
      <c r="L859" s="105"/>
      <c r="M859" s="105"/>
      <c r="N859" s="220"/>
      <c r="O859" s="185"/>
      <c r="P859" s="220"/>
      <c r="Q859" s="220"/>
      <c r="R859" s="225"/>
      <c r="S859" s="220"/>
    </row>
    <row r="860" spans="1:19" ht="47.25">
      <c r="A860" s="36" t="s">
        <v>373</v>
      </c>
      <c r="B860" s="31"/>
      <c r="C860" s="31" t="s">
        <v>123</v>
      </c>
      <c r="D860" s="31" t="s">
        <v>372</v>
      </c>
      <c r="E860" s="31"/>
      <c r="F860" s="154"/>
      <c r="G860" s="31"/>
      <c r="H860" s="104">
        <f>H861</f>
        <v>209000</v>
      </c>
      <c r="I860" s="105"/>
      <c r="J860" s="105"/>
      <c r="K860" s="105"/>
      <c r="L860" s="105"/>
      <c r="M860" s="105"/>
      <c r="N860" s="104">
        <f>N861</f>
        <v>0</v>
      </c>
      <c r="O860" s="104"/>
      <c r="P860" s="104">
        <f>P861</f>
        <v>0</v>
      </c>
      <c r="Q860" s="104">
        <f>Q861</f>
        <v>0</v>
      </c>
      <c r="R860" s="102"/>
      <c r="S860" s="104">
        <f>S861</f>
        <v>0</v>
      </c>
    </row>
    <row r="861" spans="1:19" ht="15.75">
      <c r="A861" s="41" t="s">
        <v>140</v>
      </c>
      <c r="B861" s="31"/>
      <c r="C861" s="31" t="s">
        <v>123</v>
      </c>
      <c r="D861" s="31" t="s">
        <v>375</v>
      </c>
      <c r="E861" s="31" t="s">
        <v>141</v>
      </c>
      <c r="F861" s="154"/>
      <c r="G861" s="31"/>
      <c r="H861" s="104">
        <v>209000</v>
      </c>
      <c r="I861" s="105"/>
      <c r="J861" s="105"/>
      <c r="K861" s="105"/>
      <c r="L861" s="105"/>
      <c r="M861" s="105"/>
      <c r="N861" s="104">
        <v>0</v>
      </c>
      <c r="O861" s="104"/>
      <c r="P861" s="116">
        <f>N861+O861</f>
        <v>0</v>
      </c>
      <c r="Q861" s="104">
        <v>0</v>
      </c>
      <c r="R861" s="102"/>
      <c r="S861" s="116">
        <f>Q861+R861</f>
        <v>0</v>
      </c>
    </row>
    <row r="862" spans="1:19" ht="15.75">
      <c r="A862" s="173"/>
      <c r="B862" s="174"/>
      <c r="C862" s="175"/>
      <c r="D862" s="175"/>
      <c r="E862" s="175"/>
      <c r="F862" s="176"/>
      <c r="G862" s="177"/>
      <c r="H862" s="178" t="e">
        <f>H855+H850+H846+H817+H714+H703+H650+H605+H573+H468+H858</f>
        <v>#REF!</v>
      </c>
      <c r="I862" s="178">
        <f aca="true" t="shared" si="97" ref="I862:Q862">I855+I850+I846+I817+I714+I703+I650+I605+I573+I468</f>
        <v>0</v>
      </c>
      <c r="J862" s="178">
        <f t="shared" si="97"/>
        <v>0</v>
      </c>
      <c r="K862" s="178">
        <f t="shared" si="97"/>
        <v>0</v>
      </c>
      <c r="L862" s="178">
        <f t="shared" si="97"/>
        <v>0</v>
      </c>
      <c r="M862" s="178">
        <f t="shared" si="97"/>
        <v>0</v>
      </c>
      <c r="N862" s="178">
        <f>N855+N850+N846+N817+N714+N703+N650+N605+N573+N468</f>
        <v>511334439</v>
      </c>
      <c r="O862" s="178"/>
      <c r="P862" s="202">
        <f t="shared" si="97"/>
        <v>510834439</v>
      </c>
      <c r="Q862" s="202">
        <f t="shared" si="97"/>
        <v>522182321</v>
      </c>
      <c r="R862" s="203"/>
      <c r="S862" s="202">
        <f>S855+S850+S846+S817+S714+S703+S650+S605+S573+S468</f>
        <v>522788041</v>
      </c>
    </row>
    <row r="863" spans="1:19" ht="15.75" customHeight="1">
      <c r="A863" s="217" t="s">
        <v>480</v>
      </c>
      <c r="B863" s="217"/>
      <c r="C863" s="217"/>
      <c r="D863" s="217"/>
      <c r="E863" s="217"/>
      <c r="F863" s="217"/>
      <c r="G863" s="217"/>
      <c r="H863" s="217"/>
      <c r="I863" s="217"/>
      <c r="J863" s="217"/>
      <c r="K863" s="217"/>
      <c r="L863" s="217"/>
      <c r="M863" s="217"/>
      <c r="N863" s="217"/>
      <c r="O863" s="217"/>
      <c r="P863" s="217"/>
      <c r="Q863" s="217"/>
      <c r="R863" s="217"/>
      <c r="S863" s="217"/>
    </row>
    <row r="864" spans="1:19" ht="15.75">
      <c r="A864" s="217"/>
      <c r="B864" s="217"/>
      <c r="C864" s="217"/>
      <c r="D864" s="217"/>
      <c r="E864" s="217"/>
      <c r="F864" s="217"/>
      <c r="G864" s="217"/>
      <c r="H864" s="217"/>
      <c r="I864" s="217"/>
      <c r="J864" s="217"/>
      <c r="K864" s="217"/>
      <c r="L864" s="217"/>
      <c r="M864" s="217"/>
      <c r="N864" s="217"/>
      <c r="O864" s="217"/>
      <c r="P864" s="217"/>
      <c r="Q864" s="217"/>
      <c r="R864" s="217"/>
      <c r="S864" s="217"/>
    </row>
    <row r="865" spans="1:19" ht="15.75">
      <c r="A865" s="217"/>
      <c r="B865" s="217"/>
      <c r="C865" s="217"/>
      <c r="D865" s="217"/>
      <c r="E865" s="217"/>
      <c r="F865" s="217"/>
      <c r="G865" s="217"/>
      <c r="H865" s="217"/>
      <c r="I865" s="217"/>
      <c r="J865" s="217"/>
      <c r="K865" s="217"/>
      <c r="L865" s="217"/>
      <c r="M865" s="217"/>
      <c r="N865" s="217"/>
      <c r="O865" s="217"/>
      <c r="P865" s="217"/>
      <c r="Q865" s="217"/>
      <c r="R865" s="217"/>
      <c r="S865" s="217"/>
    </row>
    <row r="866" spans="1:19" ht="15.75">
      <c r="A866" s="217"/>
      <c r="B866" s="217"/>
      <c r="C866" s="217"/>
      <c r="D866" s="217"/>
      <c r="E866" s="217"/>
      <c r="F866" s="217"/>
      <c r="G866" s="217"/>
      <c r="H866" s="217"/>
      <c r="I866" s="217"/>
      <c r="J866" s="217"/>
      <c r="K866" s="217"/>
      <c r="L866" s="217"/>
      <c r="M866" s="217"/>
      <c r="N866" s="217"/>
      <c r="O866" s="217"/>
      <c r="P866" s="217"/>
      <c r="Q866" s="217"/>
      <c r="R866" s="217"/>
      <c r="S866" s="217"/>
    </row>
    <row r="867" spans="1:19" ht="68.25" customHeight="1">
      <c r="A867" s="195" t="s">
        <v>29</v>
      </c>
      <c r="B867" s="195" t="s">
        <v>30</v>
      </c>
      <c r="C867" s="195" t="s">
        <v>99</v>
      </c>
      <c r="D867" s="195" t="s">
        <v>100</v>
      </c>
      <c r="E867" s="195" t="s">
        <v>101</v>
      </c>
      <c r="F867" s="196" t="s">
        <v>102</v>
      </c>
      <c r="G867" s="197"/>
      <c r="H867" s="198" t="s">
        <v>102</v>
      </c>
      <c r="I867" s="194"/>
      <c r="J867" s="194"/>
      <c r="K867" s="194"/>
      <c r="L867" s="194"/>
      <c r="M867" s="194"/>
      <c r="N867" s="199"/>
      <c r="O867" s="199"/>
      <c r="P867" s="200" t="s">
        <v>517</v>
      </c>
      <c r="Q867" s="200"/>
      <c r="R867" s="201"/>
      <c r="S867" s="201" t="s">
        <v>518</v>
      </c>
    </row>
    <row r="868" spans="1:19" ht="26.25" customHeight="1">
      <c r="A868" s="62" t="s">
        <v>31</v>
      </c>
      <c r="B868" s="23" t="s">
        <v>32</v>
      </c>
      <c r="C868" s="26" t="s">
        <v>32</v>
      </c>
      <c r="D868" s="23"/>
      <c r="E868" s="23"/>
      <c r="F868" s="39" t="e">
        <f>#REF!+#REF!</f>
        <v>#REF!</v>
      </c>
      <c r="G868" s="27"/>
      <c r="H868" s="115">
        <f>H872</f>
        <v>280600</v>
      </c>
      <c r="N868" s="124">
        <f>N872</f>
        <v>296000</v>
      </c>
      <c r="O868" s="124"/>
      <c r="P868" s="124">
        <f>P872</f>
        <v>296000</v>
      </c>
      <c r="Q868" s="124">
        <f>Q872+Q869</f>
        <v>317500</v>
      </c>
      <c r="R868" s="102"/>
      <c r="S868" s="124">
        <f>S872+S869</f>
        <v>317500</v>
      </c>
    </row>
    <row r="869" spans="1:19" ht="54" customHeight="1">
      <c r="A869" s="41" t="s">
        <v>492</v>
      </c>
      <c r="B869" s="23"/>
      <c r="C869" s="24" t="s">
        <v>107</v>
      </c>
      <c r="D869" s="24" t="s">
        <v>394</v>
      </c>
      <c r="E869" s="23"/>
      <c r="F869" s="39"/>
      <c r="G869" s="27"/>
      <c r="H869" s="115">
        <v>0</v>
      </c>
      <c r="I869" s="134"/>
      <c r="J869" s="134"/>
      <c r="K869" s="134"/>
      <c r="L869" s="134"/>
      <c r="M869" s="134"/>
      <c r="N869" s="115">
        <v>0</v>
      </c>
      <c r="O869" s="115"/>
      <c r="P869" s="115">
        <v>0</v>
      </c>
      <c r="Q869" s="115">
        <f>Q870</f>
        <v>16900</v>
      </c>
      <c r="R869" s="102"/>
      <c r="S869" s="115">
        <f>S870</f>
        <v>16900</v>
      </c>
    </row>
    <row r="870" spans="1:19" ht="51" customHeight="1">
      <c r="A870" s="50" t="s">
        <v>476</v>
      </c>
      <c r="B870" s="23"/>
      <c r="C870" s="24" t="s">
        <v>107</v>
      </c>
      <c r="D870" s="24" t="s">
        <v>475</v>
      </c>
      <c r="E870" s="23"/>
      <c r="F870" s="39"/>
      <c r="G870" s="27"/>
      <c r="H870" s="115">
        <v>0</v>
      </c>
      <c r="N870" s="124">
        <v>0</v>
      </c>
      <c r="O870" s="124"/>
      <c r="P870" s="124">
        <v>0</v>
      </c>
      <c r="Q870" s="124">
        <f>Q871</f>
        <v>16900</v>
      </c>
      <c r="R870" s="102"/>
      <c r="S870" s="124">
        <f>S871</f>
        <v>16900</v>
      </c>
    </row>
    <row r="871" spans="1:19" ht="31.5">
      <c r="A871" s="41" t="s">
        <v>161</v>
      </c>
      <c r="B871" s="23"/>
      <c r="C871" s="24" t="s">
        <v>107</v>
      </c>
      <c r="D871" s="24" t="s">
        <v>475</v>
      </c>
      <c r="E871" s="24" t="s">
        <v>136</v>
      </c>
      <c r="F871" s="39"/>
      <c r="G871" s="27"/>
      <c r="H871" s="115">
        <v>0</v>
      </c>
      <c r="N871" s="124">
        <v>0</v>
      </c>
      <c r="O871" s="124"/>
      <c r="P871" s="116">
        <f>N871+O871</f>
        <v>0</v>
      </c>
      <c r="Q871" s="124">
        <v>16900</v>
      </c>
      <c r="R871" s="102"/>
      <c r="S871" s="116">
        <f>Q871+R871</f>
        <v>16900</v>
      </c>
    </row>
    <row r="872" spans="1:19" ht="78.75">
      <c r="A872" s="57" t="s">
        <v>379</v>
      </c>
      <c r="B872" s="17"/>
      <c r="C872" s="23" t="s">
        <v>113</v>
      </c>
      <c r="D872" s="24" t="s">
        <v>381</v>
      </c>
      <c r="E872" s="23"/>
      <c r="F872" s="39"/>
      <c r="G872" s="27"/>
      <c r="H872" s="115">
        <f>H874+H876+H880</f>
        <v>280600</v>
      </c>
      <c r="N872" s="124">
        <f>N873+N879</f>
        <v>296000</v>
      </c>
      <c r="O872" s="124"/>
      <c r="P872" s="124">
        <f>P873+P879</f>
        <v>296000</v>
      </c>
      <c r="Q872" s="124">
        <f>Q873+Q879</f>
        <v>300600</v>
      </c>
      <c r="R872" s="102"/>
      <c r="S872" s="124">
        <f>S873+S879</f>
        <v>300600</v>
      </c>
    </row>
    <row r="873" spans="1:19" ht="51.75" customHeight="1">
      <c r="A873" s="33" t="s">
        <v>393</v>
      </c>
      <c r="B873" s="17"/>
      <c r="C873" s="24" t="s">
        <v>113</v>
      </c>
      <c r="D873" s="24" t="s">
        <v>394</v>
      </c>
      <c r="E873" s="23"/>
      <c r="F873" s="39"/>
      <c r="G873" s="27"/>
      <c r="H873" s="115"/>
      <c r="N873" s="124">
        <f>N874+N876</f>
        <v>92000</v>
      </c>
      <c r="O873" s="124"/>
      <c r="P873" s="124">
        <f>P874+P876</f>
        <v>92000</v>
      </c>
      <c r="Q873" s="124">
        <f>Q874+Q876</f>
        <v>96600</v>
      </c>
      <c r="R873" s="102"/>
      <c r="S873" s="124">
        <f>S874+S876</f>
        <v>96600</v>
      </c>
    </row>
    <row r="874" spans="1:19" ht="86.25" customHeight="1">
      <c r="A874" s="41" t="s">
        <v>127</v>
      </c>
      <c r="B874" s="23" t="s">
        <v>110</v>
      </c>
      <c r="C874" s="23" t="s">
        <v>113</v>
      </c>
      <c r="D874" s="24" t="s">
        <v>407</v>
      </c>
      <c r="E874" s="23"/>
      <c r="F874" s="39" t="e">
        <f>#REF!+F875</f>
        <v>#REF!</v>
      </c>
      <c r="G874" s="27"/>
      <c r="H874" s="115">
        <f>H875</f>
        <v>100</v>
      </c>
      <c r="N874" s="124">
        <f>N875</f>
        <v>100</v>
      </c>
      <c r="O874" s="124"/>
      <c r="P874" s="124">
        <f>P875</f>
        <v>100</v>
      </c>
      <c r="Q874" s="124">
        <f>Q875</f>
        <v>100</v>
      </c>
      <c r="R874" s="102"/>
      <c r="S874" s="124">
        <f>S875</f>
        <v>100</v>
      </c>
    </row>
    <row r="875" spans="1:19" ht="31.5">
      <c r="A875" s="41" t="s">
        <v>161</v>
      </c>
      <c r="B875" s="23"/>
      <c r="C875" s="23" t="s">
        <v>113</v>
      </c>
      <c r="D875" s="24" t="s">
        <v>407</v>
      </c>
      <c r="E875" s="23" t="s">
        <v>136</v>
      </c>
      <c r="F875" s="39">
        <v>0</v>
      </c>
      <c r="G875" s="78">
        <v>100</v>
      </c>
      <c r="H875" s="115">
        <f>F875+G875</f>
        <v>100</v>
      </c>
      <c r="N875" s="115">
        <v>100</v>
      </c>
      <c r="O875" s="115"/>
      <c r="P875" s="116">
        <f>N875+O875</f>
        <v>100</v>
      </c>
      <c r="Q875" s="115">
        <v>100</v>
      </c>
      <c r="R875" s="102"/>
      <c r="S875" s="116">
        <f>Q875+R875</f>
        <v>100</v>
      </c>
    </row>
    <row r="876" spans="1:19" ht="36" customHeight="1">
      <c r="A876" s="41" t="s">
        <v>126</v>
      </c>
      <c r="B876" s="23" t="s">
        <v>110</v>
      </c>
      <c r="C876" s="23" t="s">
        <v>113</v>
      </c>
      <c r="D876" s="24" t="s">
        <v>519</v>
      </c>
      <c r="E876" s="23"/>
      <c r="F876" s="39">
        <f>F878</f>
        <v>0</v>
      </c>
      <c r="G876" s="78"/>
      <c r="H876" s="115">
        <f>H877+H878</f>
        <v>87500</v>
      </c>
      <c r="N876" s="115">
        <v>91900</v>
      </c>
      <c r="O876" s="115"/>
      <c r="P876" s="115">
        <v>91900</v>
      </c>
      <c r="Q876" s="115">
        <v>96500</v>
      </c>
      <c r="R876" s="102"/>
      <c r="S876" s="115">
        <v>96500</v>
      </c>
    </row>
    <row r="877" spans="1:19" ht="15.75">
      <c r="A877" s="41" t="s">
        <v>129</v>
      </c>
      <c r="B877" s="23"/>
      <c r="C877" s="23" t="s">
        <v>113</v>
      </c>
      <c r="D877" s="24" t="s">
        <v>519</v>
      </c>
      <c r="E877" s="24" t="s">
        <v>133</v>
      </c>
      <c r="F877" s="39"/>
      <c r="G877" s="78">
        <v>14749</v>
      </c>
      <c r="H877" s="115">
        <v>84212</v>
      </c>
      <c r="N877" s="124">
        <v>88200</v>
      </c>
      <c r="O877" s="124"/>
      <c r="P877" s="116">
        <f>N877+O877</f>
        <v>88200</v>
      </c>
      <c r="Q877" s="124">
        <v>92700</v>
      </c>
      <c r="R877" s="102"/>
      <c r="S877" s="116">
        <f>Q877+R877</f>
        <v>92700</v>
      </c>
    </row>
    <row r="878" spans="1:19" ht="34.5" customHeight="1">
      <c r="A878" s="41" t="s">
        <v>161</v>
      </c>
      <c r="B878" s="23" t="s">
        <v>110</v>
      </c>
      <c r="C878" s="23" t="s">
        <v>113</v>
      </c>
      <c r="D878" s="24" t="s">
        <v>519</v>
      </c>
      <c r="E878" s="23" t="s">
        <v>136</v>
      </c>
      <c r="F878" s="39">
        <v>0</v>
      </c>
      <c r="G878" s="78">
        <v>68651</v>
      </c>
      <c r="H878" s="115">
        <v>3288</v>
      </c>
      <c r="N878" s="124">
        <v>3700</v>
      </c>
      <c r="O878" s="124"/>
      <c r="P878" s="116">
        <f>N878+O878</f>
        <v>3700</v>
      </c>
      <c r="Q878" s="124">
        <v>3800</v>
      </c>
      <c r="R878" s="102"/>
      <c r="S878" s="116">
        <f>Q878+R878</f>
        <v>3800</v>
      </c>
    </row>
    <row r="879" spans="1:19" ht="78.75">
      <c r="A879" s="33" t="s">
        <v>404</v>
      </c>
      <c r="B879" s="23"/>
      <c r="C879" s="24" t="s">
        <v>113</v>
      </c>
      <c r="D879" s="24" t="s">
        <v>405</v>
      </c>
      <c r="E879" s="23"/>
      <c r="F879" s="39"/>
      <c r="G879" s="78"/>
      <c r="H879" s="115"/>
      <c r="N879" s="124">
        <f>N880</f>
        <v>204000</v>
      </c>
      <c r="O879" s="124"/>
      <c r="P879" s="124">
        <f>P880</f>
        <v>204000</v>
      </c>
      <c r="Q879" s="124">
        <f>Q880</f>
        <v>204000</v>
      </c>
      <c r="R879" s="102"/>
      <c r="S879" s="124">
        <f>S880</f>
        <v>204000</v>
      </c>
    </row>
    <row r="880" spans="1:19" ht="78.75">
      <c r="A880" s="50" t="s">
        <v>106</v>
      </c>
      <c r="B880" s="14"/>
      <c r="C880" s="23" t="s">
        <v>113</v>
      </c>
      <c r="D880" s="24" t="s">
        <v>406</v>
      </c>
      <c r="E880" s="23"/>
      <c r="F880" s="39">
        <f>F881+F882</f>
        <v>0</v>
      </c>
      <c r="G880" s="27"/>
      <c r="H880" s="115">
        <f>H881+H882</f>
        <v>193000</v>
      </c>
      <c r="N880" s="115">
        <f>N881+N882</f>
        <v>204000</v>
      </c>
      <c r="O880" s="115"/>
      <c r="P880" s="115">
        <f>P881+P882</f>
        <v>204000</v>
      </c>
      <c r="Q880" s="115">
        <f>Q881+Q882</f>
        <v>204000</v>
      </c>
      <c r="R880" s="102"/>
      <c r="S880" s="115">
        <f>S881+S882</f>
        <v>204000</v>
      </c>
    </row>
    <row r="881" spans="1:19" ht="47.25">
      <c r="A881" s="41" t="s">
        <v>131</v>
      </c>
      <c r="B881" s="12"/>
      <c r="C881" s="29" t="s">
        <v>113</v>
      </c>
      <c r="D881" s="31" t="s">
        <v>406</v>
      </c>
      <c r="E881" s="29" t="s">
        <v>135</v>
      </c>
      <c r="F881" s="39">
        <v>0</v>
      </c>
      <c r="G881" s="27">
        <v>23624</v>
      </c>
      <c r="H881" s="115">
        <v>33000</v>
      </c>
      <c r="N881" s="115">
        <v>35000</v>
      </c>
      <c r="O881" s="115"/>
      <c r="P881" s="116">
        <f>N881+O881</f>
        <v>35000</v>
      </c>
      <c r="Q881" s="115">
        <v>35000</v>
      </c>
      <c r="R881" s="102"/>
      <c r="S881" s="116">
        <f>Q881+R881</f>
        <v>35000</v>
      </c>
    </row>
    <row r="882" spans="1:19" ht="31.5">
      <c r="A882" s="41" t="s">
        <v>161</v>
      </c>
      <c r="B882" s="12"/>
      <c r="C882" s="29" t="s">
        <v>113</v>
      </c>
      <c r="D882" s="31" t="s">
        <v>406</v>
      </c>
      <c r="E882" s="29" t="s">
        <v>136</v>
      </c>
      <c r="F882" s="39">
        <v>0</v>
      </c>
      <c r="G882" s="27">
        <v>168376</v>
      </c>
      <c r="H882" s="115">
        <v>160000</v>
      </c>
      <c r="N882" s="115">
        <v>169000</v>
      </c>
      <c r="O882" s="115"/>
      <c r="P882" s="116">
        <f>N882+O882</f>
        <v>169000</v>
      </c>
      <c r="Q882" s="115">
        <v>169000</v>
      </c>
      <c r="R882" s="102"/>
      <c r="S882" s="116">
        <f>Q882+R882</f>
        <v>169000</v>
      </c>
    </row>
    <row r="883" spans="1:19" ht="31.5">
      <c r="A883" s="41" t="s">
        <v>161</v>
      </c>
      <c r="B883" s="12"/>
      <c r="C883" s="29" t="s">
        <v>113</v>
      </c>
      <c r="D883" s="31" t="s">
        <v>406</v>
      </c>
      <c r="E883" s="29" t="s">
        <v>136</v>
      </c>
      <c r="F883" s="39">
        <v>0</v>
      </c>
      <c r="G883" s="27">
        <v>168376</v>
      </c>
      <c r="H883" s="115">
        <v>160000</v>
      </c>
      <c r="N883" s="124">
        <v>169000</v>
      </c>
      <c r="O883" s="124"/>
      <c r="P883" s="116">
        <f>N883+O883</f>
        <v>169000</v>
      </c>
      <c r="Q883" s="124">
        <v>169000</v>
      </c>
      <c r="R883" s="102"/>
      <c r="S883" s="116">
        <f>Q883+R883</f>
        <v>169000</v>
      </c>
    </row>
    <row r="884" spans="1:19" ht="15.75">
      <c r="A884" s="41" t="s">
        <v>42</v>
      </c>
      <c r="B884" s="23"/>
      <c r="C884" s="26" t="s">
        <v>43</v>
      </c>
      <c r="D884" s="24"/>
      <c r="E884" s="24"/>
      <c r="F884" s="39"/>
      <c r="G884" s="27"/>
      <c r="H884" s="115" t="e">
        <f>H886</f>
        <v>#REF!</v>
      </c>
      <c r="N884" s="115">
        <f>N885</f>
        <v>1445900</v>
      </c>
      <c r="O884" s="115"/>
      <c r="P884" s="115">
        <f>P885</f>
        <v>1445900</v>
      </c>
      <c r="Q884" s="115">
        <f>Q885</f>
        <v>1445900</v>
      </c>
      <c r="R884" s="102"/>
      <c r="S884" s="115">
        <f>S885</f>
        <v>1445900</v>
      </c>
    </row>
    <row r="885" spans="1:19" ht="63">
      <c r="A885" s="162" t="s">
        <v>482</v>
      </c>
      <c r="B885" s="23"/>
      <c r="C885" s="26" t="s">
        <v>43</v>
      </c>
      <c r="D885" s="24" t="s">
        <v>112</v>
      </c>
      <c r="E885" s="24"/>
      <c r="F885" s="39"/>
      <c r="G885" s="27"/>
      <c r="H885" s="115"/>
      <c r="N885" s="115">
        <f>N886</f>
        <v>1445900</v>
      </c>
      <c r="O885" s="115"/>
      <c r="P885" s="115">
        <f>P886</f>
        <v>1445900</v>
      </c>
      <c r="Q885" s="115">
        <f>Q886</f>
        <v>1445900</v>
      </c>
      <c r="R885" s="102"/>
      <c r="S885" s="115">
        <f>S886</f>
        <v>1445900</v>
      </c>
    </row>
    <row r="886" spans="1:19" ht="78.75">
      <c r="A886" s="36" t="s">
        <v>213</v>
      </c>
      <c r="B886" s="23"/>
      <c r="C886" s="23" t="s">
        <v>93</v>
      </c>
      <c r="D886" s="158" t="s">
        <v>214</v>
      </c>
      <c r="E886" s="23"/>
      <c r="F886" s="39" t="e">
        <f>F889+#REF!+F888+F887</f>
        <v>#REF!</v>
      </c>
      <c r="G886" s="27"/>
      <c r="H886" s="115" t="e">
        <f>H889+#REF!+H888+H887</f>
        <v>#REF!</v>
      </c>
      <c r="N886" s="115">
        <f>N889+N888+N887</f>
        <v>1445900</v>
      </c>
      <c r="O886" s="115"/>
      <c r="P886" s="115">
        <f>P889+P888+P887</f>
        <v>1445900</v>
      </c>
      <c r="Q886" s="115">
        <f>Q889+Q888+Q887</f>
        <v>1445900</v>
      </c>
      <c r="R886" s="102"/>
      <c r="S886" s="115">
        <f>S889+S888+S887</f>
        <v>1445900</v>
      </c>
    </row>
    <row r="887" spans="1:19" ht="15.75">
      <c r="A887" s="41" t="s">
        <v>129</v>
      </c>
      <c r="B887" s="23">
        <v>901</v>
      </c>
      <c r="C887" s="23" t="s">
        <v>93</v>
      </c>
      <c r="D887" s="24" t="s">
        <v>415</v>
      </c>
      <c r="E887" s="23" t="s">
        <v>133</v>
      </c>
      <c r="F887" s="146">
        <v>0</v>
      </c>
      <c r="G887" s="27">
        <v>1004500</v>
      </c>
      <c r="H887" s="116">
        <v>1048780</v>
      </c>
      <c r="N887" s="116">
        <v>1048780</v>
      </c>
      <c r="O887" s="116"/>
      <c r="P887" s="116">
        <f>N887+O887</f>
        <v>1048780</v>
      </c>
      <c r="Q887" s="116">
        <v>1048780</v>
      </c>
      <c r="R887" s="102"/>
      <c r="S887" s="116">
        <f>Q887+R887</f>
        <v>1048780</v>
      </c>
    </row>
    <row r="888" spans="1:19" ht="47.25">
      <c r="A888" s="41" t="s">
        <v>131</v>
      </c>
      <c r="B888" s="23">
        <v>901</v>
      </c>
      <c r="C888" s="23" t="s">
        <v>93</v>
      </c>
      <c r="D888" s="24" t="s">
        <v>415</v>
      </c>
      <c r="E888" s="23" t="s">
        <v>135</v>
      </c>
      <c r="F888" s="146">
        <v>0</v>
      </c>
      <c r="G888" s="27">
        <v>168250</v>
      </c>
      <c r="H888" s="116">
        <v>62132</v>
      </c>
      <c r="N888" s="116">
        <v>62132</v>
      </c>
      <c r="O888" s="116"/>
      <c r="P888" s="116">
        <f>N888+O888</f>
        <v>62132</v>
      </c>
      <c r="Q888" s="116">
        <v>62132</v>
      </c>
      <c r="R888" s="102"/>
      <c r="S888" s="116">
        <f>Q888+R888</f>
        <v>62132</v>
      </c>
    </row>
    <row r="889" spans="1:19" ht="31.5">
      <c r="A889" s="41" t="s">
        <v>161</v>
      </c>
      <c r="B889" s="23">
        <v>901</v>
      </c>
      <c r="C889" s="23" t="s">
        <v>93</v>
      </c>
      <c r="D889" s="24" t="s">
        <v>415</v>
      </c>
      <c r="E889" s="23" t="s">
        <v>136</v>
      </c>
      <c r="F889" s="146">
        <v>0</v>
      </c>
      <c r="G889" s="27">
        <v>545650</v>
      </c>
      <c r="H889" s="116">
        <v>330788</v>
      </c>
      <c r="N889" s="116">
        <v>334988</v>
      </c>
      <c r="O889" s="116"/>
      <c r="P889" s="116">
        <f>N889+O889</f>
        <v>334988</v>
      </c>
      <c r="Q889" s="116">
        <v>334988</v>
      </c>
      <c r="R889" s="102"/>
      <c r="S889" s="116">
        <f>Q889+R889</f>
        <v>334988</v>
      </c>
    </row>
    <row r="890" spans="1:19" ht="19.5" customHeight="1">
      <c r="A890" s="60" t="s">
        <v>69</v>
      </c>
      <c r="B890" s="29" t="s">
        <v>70</v>
      </c>
      <c r="C890" s="30" t="s">
        <v>70</v>
      </c>
      <c r="D890" s="29"/>
      <c r="E890" s="29"/>
      <c r="F890" s="39" t="e">
        <f>F891</f>
        <v>#REF!</v>
      </c>
      <c r="G890" s="27">
        <v>0</v>
      </c>
      <c r="H890" s="115">
        <f>H891</f>
        <v>283878000</v>
      </c>
      <c r="N890" s="124">
        <f>N891</f>
        <v>314515000</v>
      </c>
      <c r="O890" s="124"/>
      <c r="P890" s="124">
        <f>P891</f>
        <v>314515000</v>
      </c>
      <c r="Q890" s="124">
        <f>Q891</f>
        <v>347768000</v>
      </c>
      <c r="R890" s="102"/>
      <c r="S890" s="124">
        <f>S891</f>
        <v>347768000</v>
      </c>
    </row>
    <row r="891" spans="1:19" ht="33" customHeight="1">
      <c r="A891" s="41" t="s">
        <v>465</v>
      </c>
      <c r="B891" s="24" t="s">
        <v>116</v>
      </c>
      <c r="C891" s="24" t="s">
        <v>70</v>
      </c>
      <c r="D891" s="24" t="s">
        <v>125</v>
      </c>
      <c r="E891" s="46"/>
      <c r="F891" s="39" t="e">
        <f>#REF!</f>
        <v>#REF!</v>
      </c>
      <c r="G891" s="27"/>
      <c r="H891" s="115">
        <f>H892+H905</f>
        <v>283878000</v>
      </c>
      <c r="N891" s="124">
        <f>N892+N905</f>
        <v>314515000</v>
      </c>
      <c r="O891" s="124"/>
      <c r="P891" s="124">
        <f>P892+P905</f>
        <v>314515000</v>
      </c>
      <c r="Q891" s="124">
        <f>Q905+Q892</f>
        <v>347768000</v>
      </c>
      <c r="R891" s="102"/>
      <c r="S891" s="124">
        <f>S892+S905</f>
        <v>347768000</v>
      </c>
    </row>
    <row r="892" spans="1:19" ht="15.75">
      <c r="A892" s="41" t="s">
        <v>84</v>
      </c>
      <c r="B892" s="24"/>
      <c r="C892" s="24" t="s">
        <v>85</v>
      </c>
      <c r="D892" s="24"/>
      <c r="E892" s="46"/>
      <c r="F892" s="39"/>
      <c r="G892" s="27"/>
      <c r="H892" s="115">
        <f>H893</f>
        <v>49987000</v>
      </c>
      <c r="N892" s="124">
        <f>N893</f>
        <v>54444000</v>
      </c>
      <c r="O892" s="124"/>
      <c r="P892" s="124">
        <f>P893+P896+P899+P903</f>
        <v>80044807</v>
      </c>
      <c r="Q892" s="124">
        <f>Q893</f>
        <v>59326000</v>
      </c>
      <c r="R892" s="102"/>
      <c r="S892" s="124">
        <f>+S896+S899+S903</f>
        <v>87717297</v>
      </c>
    </row>
    <row r="893" spans="1:19" ht="70.5" customHeight="1">
      <c r="A893" s="41" t="s">
        <v>280</v>
      </c>
      <c r="B893" s="24" t="s">
        <v>116</v>
      </c>
      <c r="C893" s="24" t="s">
        <v>85</v>
      </c>
      <c r="D893" s="24" t="s">
        <v>281</v>
      </c>
      <c r="E893" s="24"/>
      <c r="F893" s="80">
        <v>0</v>
      </c>
      <c r="G893" s="47">
        <v>74461823</v>
      </c>
      <c r="H893" s="116">
        <f>H895+H894</f>
        <v>49987000</v>
      </c>
      <c r="N893" s="124">
        <f>N894+N895</f>
        <v>54444000</v>
      </c>
      <c r="O893" s="124"/>
      <c r="P893" s="124">
        <f>P894+P895</f>
        <v>0</v>
      </c>
      <c r="Q893" s="124">
        <f>Q894+Q895</f>
        <v>59326000</v>
      </c>
      <c r="R893" s="102"/>
      <c r="S893" s="124">
        <f>S894+S895</f>
        <v>0</v>
      </c>
    </row>
    <row r="894" spans="1:19" ht="24.75" customHeight="1">
      <c r="A894" s="41" t="s">
        <v>129</v>
      </c>
      <c r="B894" s="24" t="s">
        <v>116</v>
      </c>
      <c r="C894" s="24" t="s">
        <v>85</v>
      </c>
      <c r="D894" s="24" t="s">
        <v>281</v>
      </c>
      <c r="E894" s="24" t="s">
        <v>133</v>
      </c>
      <c r="F894" s="80"/>
      <c r="G894" s="47"/>
      <c r="H894" s="116">
        <v>48695000</v>
      </c>
      <c r="N894" s="124">
        <v>52811000</v>
      </c>
      <c r="O894" s="124">
        <v>-52811000</v>
      </c>
      <c r="P894" s="116">
        <f>N894+O894</f>
        <v>0</v>
      </c>
      <c r="Q894" s="124">
        <v>57546200</v>
      </c>
      <c r="R894" s="102">
        <v>-57546200</v>
      </c>
      <c r="S894" s="116">
        <f>Q894+R894</f>
        <v>0</v>
      </c>
    </row>
    <row r="895" spans="1:19" ht="47.25">
      <c r="A895" s="41" t="s">
        <v>161</v>
      </c>
      <c r="B895" s="24" t="s">
        <v>116</v>
      </c>
      <c r="C895" s="24" t="s">
        <v>85</v>
      </c>
      <c r="D895" s="24" t="s">
        <v>281</v>
      </c>
      <c r="E895" s="24" t="s">
        <v>136</v>
      </c>
      <c r="F895" s="80"/>
      <c r="G895" s="47"/>
      <c r="H895" s="116">
        <v>1292000</v>
      </c>
      <c r="N895" s="124">
        <v>1633000</v>
      </c>
      <c r="O895" s="124">
        <v>-1633000</v>
      </c>
      <c r="P895" s="116">
        <f>N895+O895</f>
        <v>0</v>
      </c>
      <c r="Q895" s="124">
        <v>1779800</v>
      </c>
      <c r="R895" s="102">
        <v>-1779800</v>
      </c>
      <c r="S895" s="116">
        <f>Q895+R895</f>
        <v>0</v>
      </c>
    </row>
    <row r="896" spans="1:19" ht="126">
      <c r="A896" s="41" t="s">
        <v>507</v>
      </c>
      <c r="B896" s="24"/>
      <c r="C896" s="24" t="s">
        <v>85</v>
      </c>
      <c r="D896" s="24" t="s">
        <v>495</v>
      </c>
      <c r="E896" s="24"/>
      <c r="F896" s="80"/>
      <c r="G896" s="47"/>
      <c r="H896" s="116"/>
      <c r="N896" s="124"/>
      <c r="O896" s="124"/>
      <c r="P896" s="116">
        <f>P897+P898</f>
        <v>52811000</v>
      </c>
      <c r="Q896" s="124"/>
      <c r="R896" s="102"/>
      <c r="S896" s="116">
        <f>S897+S898</f>
        <v>57546200</v>
      </c>
    </row>
    <row r="897" spans="1:19" ht="15.75">
      <c r="A897" s="41" t="s">
        <v>129</v>
      </c>
      <c r="B897" s="24"/>
      <c r="C897" s="24" t="s">
        <v>85</v>
      </c>
      <c r="D897" s="24" t="s">
        <v>495</v>
      </c>
      <c r="E897" s="24" t="s">
        <v>133</v>
      </c>
      <c r="F897" s="80"/>
      <c r="G897" s="47"/>
      <c r="H897" s="116"/>
      <c r="N897" s="124"/>
      <c r="O897" s="124">
        <v>38416384</v>
      </c>
      <c r="P897" s="116">
        <f>O897</f>
        <v>38416384</v>
      </c>
      <c r="Q897" s="124"/>
      <c r="R897" s="102">
        <v>41858490</v>
      </c>
      <c r="S897" s="116">
        <f>R897</f>
        <v>41858490</v>
      </c>
    </row>
    <row r="898" spans="1:19" ht="78.75">
      <c r="A898" s="41" t="s">
        <v>508</v>
      </c>
      <c r="B898" s="24"/>
      <c r="C898" s="24" t="s">
        <v>85</v>
      </c>
      <c r="D898" s="24" t="s">
        <v>495</v>
      </c>
      <c r="E898" s="24" t="s">
        <v>145</v>
      </c>
      <c r="F898" s="80"/>
      <c r="G898" s="47"/>
      <c r="H898" s="116"/>
      <c r="N898" s="124"/>
      <c r="O898" s="124">
        <v>14394616</v>
      </c>
      <c r="P898" s="116">
        <f>O898</f>
        <v>14394616</v>
      </c>
      <c r="Q898" s="124"/>
      <c r="R898" s="102">
        <v>15687710</v>
      </c>
      <c r="S898" s="116">
        <f>R898</f>
        <v>15687710</v>
      </c>
    </row>
    <row r="899" spans="1:19" ht="119.25" customHeight="1">
      <c r="A899" s="41" t="s">
        <v>509</v>
      </c>
      <c r="B899" s="24"/>
      <c r="C899" s="24" t="s">
        <v>85</v>
      </c>
      <c r="D899" s="24" t="s">
        <v>497</v>
      </c>
      <c r="E899" s="24"/>
      <c r="F899" s="80"/>
      <c r="G899" s="47"/>
      <c r="H899" s="116"/>
      <c r="N899" s="124"/>
      <c r="O899" s="124"/>
      <c r="P899" s="116">
        <f>P900+P901+P902</f>
        <v>1633000</v>
      </c>
      <c r="Q899" s="124"/>
      <c r="R899" s="102"/>
      <c r="S899" s="116">
        <f>S900+S901+S902</f>
        <v>1779800</v>
      </c>
    </row>
    <row r="900" spans="1:19" ht="47.25">
      <c r="A900" s="41" t="s">
        <v>131</v>
      </c>
      <c r="B900" s="24"/>
      <c r="C900" s="24" t="s">
        <v>85</v>
      </c>
      <c r="D900" s="24" t="s">
        <v>497</v>
      </c>
      <c r="E900" s="24" t="s">
        <v>135</v>
      </c>
      <c r="F900" s="80"/>
      <c r="G900" s="47"/>
      <c r="H900" s="116"/>
      <c r="N900" s="124"/>
      <c r="O900" s="124">
        <v>278100</v>
      </c>
      <c r="P900" s="116">
        <f>O900</f>
        <v>278100</v>
      </c>
      <c r="Q900" s="124"/>
      <c r="R900" s="102">
        <v>302700</v>
      </c>
      <c r="S900" s="116">
        <f>R900</f>
        <v>302700</v>
      </c>
    </row>
    <row r="901" spans="1:19" ht="31.5">
      <c r="A901" s="41" t="s">
        <v>161</v>
      </c>
      <c r="B901" s="24"/>
      <c r="C901" s="24" t="s">
        <v>85</v>
      </c>
      <c r="D901" s="24" t="s">
        <v>497</v>
      </c>
      <c r="E901" s="24" t="s">
        <v>136</v>
      </c>
      <c r="F901" s="80"/>
      <c r="G901" s="47"/>
      <c r="H901" s="116"/>
      <c r="N901" s="124"/>
      <c r="O901" s="124">
        <v>824400</v>
      </c>
      <c r="P901" s="116">
        <f>O901</f>
        <v>824400</v>
      </c>
      <c r="Q901" s="124"/>
      <c r="R901" s="102">
        <v>899100</v>
      </c>
      <c r="S901" s="116">
        <f>R901</f>
        <v>899100</v>
      </c>
    </row>
    <row r="902" spans="1:19" ht="78.75">
      <c r="A902" s="41" t="s">
        <v>508</v>
      </c>
      <c r="B902" s="24"/>
      <c r="C902" s="24" t="s">
        <v>85</v>
      </c>
      <c r="D902" s="24" t="s">
        <v>497</v>
      </c>
      <c r="E902" s="24" t="s">
        <v>145</v>
      </c>
      <c r="F902" s="80"/>
      <c r="G902" s="47"/>
      <c r="H902" s="116"/>
      <c r="N902" s="124"/>
      <c r="O902" s="124">
        <v>530500</v>
      </c>
      <c r="P902" s="116">
        <f>O902</f>
        <v>530500</v>
      </c>
      <c r="Q902" s="124"/>
      <c r="R902" s="102">
        <v>578000</v>
      </c>
      <c r="S902" s="116">
        <f>R902</f>
        <v>578000</v>
      </c>
    </row>
    <row r="903" spans="1:19" ht="189">
      <c r="A903" s="41" t="s">
        <v>511</v>
      </c>
      <c r="B903" s="24"/>
      <c r="C903" s="24" t="s">
        <v>85</v>
      </c>
      <c r="D903" s="24" t="s">
        <v>502</v>
      </c>
      <c r="E903" s="24"/>
      <c r="F903" s="80"/>
      <c r="G903" s="47"/>
      <c r="H903" s="116"/>
      <c r="N903" s="124"/>
      <c r="O903" s="124"/>
      <c r="P903" s="116">
        <f>P904</f>
        <v>25600807</v>
      </c>
      <c r="Q903" s="124"/>
      <c r="R903" s="102"/>
      <c r="S903" s="116">
        <f>S904</f>
        <v>28391297</v>
      </c>
    </row>
    <row r="904" spans="1:19" ht="15.75">
      <c r="A904" s="41" t="s">
        <v>129</v>
      </c>
      <c r="B904" s="24"/>
      <c r="C904" s="24" t="s">
        <v>85</v>
      </c>
      <c r="D904" s="24" t="s">
        <v>502</v>
      </c>
      <c r="E904" s="24" t="s">
        <v>133</v>
      </c>
      <c r="F904" s="80"/>
      <c r="G904" s="47"/>
      <c r="H904" s="116"/>
      <c r="N904" s="124"/>
      <c r="O904" s="124">
        <v>25600807</v>
      </c>
      <c r="P904" s="116">
        <f>O904</f>
        <v>25600807</v>
      </c>
      <c r="Q904" s="124"/>
      <c r="R904" s="102">
        <v>28391297</v>
      </c>
      <c r="S904" s="116">
        <f>R904</f>
        <v>28391297</v>
      </c>
    </row>
    <row r="905" spans="1:19" ht="15.75">
      <c r="A905" s="41" t="s">
        <v>345</v>
      </c>
      <c r="B905" s="24"/>
      <c r="C905" s="24" t="s">
        <v>72</v>
      </c>
      <c r="D905" s="24"/>
      <c r="E905" s="24"/>
      <c r="F905" s="80"/>
      <c r="G905" s="47"/>
      <c r="H905" s="116">
        <f>H906</f>
        <v>233891000</v>
      </c>
      <c r="N905" s="124">
        <f>N906</f>
        <v>260071000</v>
      </c>
      <c r="O905" s="124"/>
      <c r="P905" s="124">
        <f>P910+P913</f>
        <v>234470193</v>
      </c>
      <c r="Q905" s="124">
        <f>Q906</f>
        <v>288442000</v>
      </c>
      <c r="R905" s="102"/>
      <c r="S905" s="124">
        <f>S910+S913</f>
        <v>260050703</v>
      </c>
    </row>
    <row r="906" spans="1:19" ht="63">
      <c r="A906" s="33" t="s">
        <v>296</v>
      </c>
      <c r="B906" s="24" t="s">
        <v>116</v>
      </c>
      <c r="C906" s="24" t="s">
        <v>72</v>
      </c>
      <c r="D906" s="24" t="s">
        <v>297</v>
      </c>
      <c r="E906" s="24"/>
      <c r="F906" s="80"/>
      <c r="G906" s="24"/>
      <c r="H906" s="116">
        <f>H907+H908+H909</f>
        <v>233891000</v>
      </c>
      <c r="N906" s="124">
        <f>N907+N908+N909</f>
        <v>260071000</v>
      </c>
      <c r="O906" s="124"/>
      <c r="P906" s="124">
        <f>P907+P908+P909</f>
        <v>0</v>
      </c>
      <c r="Q906" s="124">
        <v>288442000</v>
      </c>
      <c r="R906" s="102"/>
      <c r="S906" s="124">
        <f>S907+S908+S909</f>
        <v>0</v>
      </c>
    </row>
    <row r="907" spans="1:19" ht="19.5" customHeight="1">
      <c r="A907" s="41" t="s">
        <v>129</v>
      </c>
      <c r="B907" s="24" t="s">
        <v>116</v>
      </c>
      <c r="C907" s="24" t="s">
        <v>72</v>
      </c>
      <c r="D907" s="24" t="s">
        <v>297</v>
      </c>
      <c r="E907" s="24" t="s">
        <v>133</v>
      </c>
      <c r="F907" s="80">
        <v>0</v>
      </c>
      <c r="G907" s="47">
        <v>1474467</v>
      </c>
      <c r="H907" s="116">
        <v>229432000</v>
      </c>
      <c r="N907" s="124">
        <v>254870000</v>
      </c>
      <c r="O907" s="124">
        <v>-254870000</v>
      </c>
      <c r="P907" s="116">
        <f>N907+O907</f>
        <v>0</v>
      </c>
      <c r="Q907" s="124">
        <v>282670000</v>
      </c>
      <c r="R907" s="102">
        <v>-282670000</v>
      </c>
      <c r="S907" s="116">
        <f>Q907+R907</f>
        <v>0</v>
      </c>
    </row>
    <row r="908" spans="1:19" ht="36" customHeight="1">
      <c r="A908" s="41" t="s">
        <v>131</v>
      </c>
      <c r="B908" s="24" t="s">
        <v>116</v>
      </c>
      <c r="C908" s="24" t="s">
        <v>72</v>
      </c>
      <c r="D908" s="24" t="s">
        <v>297</v>
      </c>
      <c r="E908" s="24" t="s">
        <v>135</v>
      </c>
      <c r="F908" s="80">
        <v>0</v>
      </c>
      <c r="G908" s="47">
        <v>1284127</v>
      </c>
      <c r="H908" s="116">
        <v>1600000</v>
      </c>
      <c r="N908" s="124">
        <v>2080000</v>
      </c>
      <c r="O908" s="124">
        <v>-2080000</v>
      </c>
      <c r="P908" s="116">
        <f>N908+O908</f>
        <v>0</v>
      </c>
      <c r="Q908" s="124">
        <v>2307000</v>
      </c>
      <c r="R908" s="102">
        <v>-2307000</v>
      </c>
      <c r="S908" s="116">
        <f>Q908+R908</f>
        <v>0</v>
      </c>
    </row>
    <row r="909" spans="1:19" ht="35.25" customHeight="1">
      <c r="A909" s="41" t="s">
        <v>161</v>
      </c>
      <c r="B909" s="24" t="s">
        <v>116</v>
      </c>
      <c r="C909" s="24" t="s">
        <v>72</v>
      </c>
      <c r="D909" s="24" t="s">
        <v>297</v>
      </c>
      <c r="E909" s="24" t="s">
        <v>136</v>
      </c>
      <c r="F909" s="80">
        <v>0</v>
      </c>
      <c r="G909" s="47">
        <v>48946218</v>
      </c>
      <c r="H909" s="116">
        <v>2859000</v>
      </c>
      <c r="N909" s="124">
        <v>3121000</v>
      </c>
      <c r="O909" s="124">
        <v>-3121000</v>
      </c>
      <c r="P909" s="116">
        <f>N909+O909</f>
        <v>0</v>
      </c>
      <c r="Q909" s="124">
        <v>3465000</v>
      </c>
      <c r="R909" s="102">
        <v>-3465000</v>
      </c>
      <c r="S909" s="116">
        <f>Q909+R909</f>
        <v>0</v>
      </c>
    </row>
    <row r="910" spans="1:19" ht="162" customHeight="1">
      <c r="A910" s="41" t="s">
        <v>511</v>
      </c>
      <c r="B910" s="24"/>
      <c r="C910" s="24" t="s">
        <v>72</v>
      </c>
      <c r="D910" s="24" t="s">
        <v>502</v>
      </c>
      <c r="E910" s="24"/>
      <c r="F910" s="80"/>
      <c r="G910" s="47"/>
      <c r="H910" s="116"/>
      <c r="N910" s="124"/>
      <c r="O910" s="41"/>
      <c r="P910" s="116">
        <f>P911+P912</f>
        <v>229269193</v>
      </c>
      <c r="Q910" s="124"/>
      <c r="R910" s="102"/>
      <c r="S910" s="116">
        <f>S911+S912</f>
        <v>254278703</v>
      </c>
    </row>
    <row r="911" spans="1:19" ht="22.5" customHeight="1">
      <c r="A911" s="41" t="s">
        <v>129</v>
      </c>
      <c r="B911" s="24"/>
      <c r="C911" s="24" t="s">
        <v>72</v>
      </c>
      <c r="D911" s="24" t="s">
        <v>502</v>
      </c>
      <c r="E911" s="24" t="s">
        <v>133</v>
      </c>
      <c r="F911" s="80"/>
      <c r="G911" s="47"/>
      <c r="H911" s="116"/>
      <c r="N911" s="124"/>
      <c r="O911" s="124">
        <v>176931624</v>
      </c>
      <c r="P911" s="116">
        <f>O911</f>
        <v>176931624</v>
      </c>
      <c r="Q911" s="124"/>
      <c r="R911" s="102">
        <v>196216999</v>
      </c>
      <c r="S911" s="116">
        <f>R911</f>
        <v>196216999</v>
      </c>
    </row>
    <row r="912" spans="1:19" ht="35.25" customHeight="1">
      <c r="A912" s="41" t="s">
        <v>510</v>
      </c>
      <c r="B912" s="24"/>
      <c r="C912" s="24" t="s">
        <v>72</v>
      </c>
      <c r="D912" s="24" t="s">
        <v>502</v>
      </c>
      <c r="E912" s="24" t="s">
        <v>310</v>
      </c>
      <c r="F912" s="80"/>
      <c r="G912" s="47"/>
      <c r="H912" s="116"/>
      <c r="N912" s="124"/>
      <c r="O912" s="124">
        <v>52337569</v>
      </c>
      <c r="P912" s="116">
        <f>O912</f>
        <v>52337569</v>
      </c>
      <c r="Q912" s="124"/>
      <c r="R912" s="102">
        <v>58061704</v>
      </c>
      <c r="S912" s="116">
        <f>R912</f>
        <v>58061704</v>
      </c>
    </row>
    <row r="913" spans="1:19" ht="193.5" customHeight="1">
      <c r="A913" s="41" t="s">
        <v>512</v>
      </c>
      <c r="B913" s="24"/>
      <c r="C913" s="24" t="s">
        <v>72</v>
      </c>
      <c r="D913" s="24" t="s">
        <v>505</v>
      </c>
      <c r="E913" s="24"/>
      <c r="F913" s="80"/>
      <c r="G913" s="47"/>
      <c r="H913" s="116"/>
      <c r="N913" s="124"/>
      <c r="O913" s="124"/>
      <c r="P913" s="116">
        <f>P914+P915+P916</f>
        <v>5201000</v>
      </c>
      <c r="Q913" s="124"/>
      <c r="R913" s="102"/>
      <c r="S913" s="116">
        <f>S914+S915+S916</f>
        <v>5772000</v>
      </c>
    </row>
    <row r="914" spans="1:19" ht="35.25" customHeight="1">
      <c r="A914" s="41" t="s">
        <v>131</v>
      </c>
      <c r="B914" s="24"/>
      <c r="C914" s="24" t="s">
        <v>72</v>
      </c>
      <c r="D914" s="24" t="s">
        <v>505</v>
      </c>
      <c r="E914" s="24" t="s">
        <v>135</v>
      </c>
      <c r="F914" s="80"/>
      <c r="G914" s="47"/>
      <c r="H914" s="116"/>
      <c r="N914" s="124"/>
      <c r="O914" s="124">
        <v>1258199</v>
      </c>
      <c r="P914" s="116">
        <f>O914</f>
        <v>1258199</v>
      </c>
      <c r="Q914" s="124"/>
      <c r="R914" s="102">
        <v>1395338</v>
      </c>
      <c r="S914" s="116">
        <f>R914</f>
        <v>1395338</v>
      </c>
    </row>
    <row r="915" spans="1:19" ht="35.25" customHeight="1">
      <c r="A915" s="41" t="s">
        <v>161</v>
      </c>
      <c r="B915" s="24"/>
      <c r="C915" s="24" t="s">
        <v>72</v>
      </c>
      <c r="D915" s="24" t="s">
        <v>505</v>
      </c>
      <c r="E915" s="24" t="s">
        <v>136</v>
      </c>
      <c r="F915" s="80"/>
      <c r="G915" s="47"/>
      <c r="H915" s="116"/>
      <c r="N915" s="124"/>
      <c r="O915" s="124">
        <v>2425945</v>
      </c>
      <c r="P915" s="116">
        <f>O915</f>
        <v>2425945</v>
      </c>
      <c r="Q915" s="124"/>
      <c r="R915" s="102">
        <v>2690282</v>
      </c>
      <c r="S915" s="116">
        <f>R915</f>
        <v>2690282</v>
      </c>
    </row>
    <row r="916" spans="1:19" ht="35.25" customHeight="1">
      <c r="A916" s="41" t="s">
        <v>510</v>
      </c>
      <c r="B916" s="24"/>
      <c r="C916" s="24" t="s">
        <v>72</v>
      </c>
      <c r="D916" s="24" t="s">
        <v>505</v>
      </c>
      <c r="E916" s="24" t="s">
        <v>310</v>
      </c>
      <c r="F916" s="80"/>
      <c r="G916" s="47"/>
      <c r="H916" s="116"/>
      <c r="N916" s="124"/>
      <c r="O916" s="124">
        <v>1516856</v>
      </c>
      <c r="P916" s="116">
        <f>O916</f>
        <v>1516856</v>
      </c>
      <c r="Q916" s="124"/>
      <c r="R916" s="102">
        <v>1686380</v>
      </c>
      <c r="S916" s="116">
        <f>R916</f>
        <v>1686380</v>
      </c>
    </row>
    <row r="917" spans="1:19" ht="15.75">
      <c r="A917" s="60" t="s">
        <v>79</v>
      </c>
      <c r="B917" s="29">
        <v>1000</v>
      </c>
      <c r="C917" s="30" t="s">
        <v>103</v>
      </c>
      <c r="D917" s="29"/>
      <c r="E917" s="29"/>
      <c r="F917" s="39" t="e">
        <f>#REF!+#REF!+#REF!+#REF!</f>
        <v>#REF!</v>
      </c>
      <c r="G917" s="27"/>
      <c r="H917" s="115">
        <f>H918+H927</f>
        <v>84915000</v>
      </c>
      <c r="N917" s="124">
        <f>N918+N927</f>
        <v>87538000</v>
      </c>
      <c r="O917" s="124"/>
      <c r="P917" s="124">
        <f>P918+P927</f>
        <v>87538000</v>
      </c>
      <c r="Q917" s="124">
        <f>Q918+Q927</f>
        <v>99427000</v>
      </c>
      <c r="R917" s="102"/>
      <c r="S917" s="124">
        <f>S918+S927</f>
        <v>99427000</v>
      </c>
    </row>
    <row r="918" spans="1:19" ht="19.5" customHeight="1">
      <c r="A918" s="64" t="s">
        <v>80</v>
      </c>
      <c r="B918" s="24" t="s">
        <v>110</v>
      </c>
      <c r="C918" s="24">
        <v>1003</v>
      </c>
      <c r="D918" s="24"/>
      <c r="E918" s="24"/>
      <c r="F918" s="80" t="e">
        <f>F919+#REF!+#REF!+#REF!+#REF!+F938+#REF!+#REF!+#REF!+#REF!</f>
        <v>#REF!</v>
      </c>
      <c r="G918" s="24"/>
      <c r="H918" s="116">
        <f>H919</f>
        <v>81889611</v>
      </c>
      <c r="I918" s="129"/>
      <c r="J918" s="129"/>
      <c r="K918" s="129"/>
      <c r="L918" s="129"/>
      <c r="M918" s="129"/>
      <c r="N918" s="131">
        <f>N919</f>
        <v>84908985</v>
      </c>
      <c r="O918" s="131"/>
      <c r="P918" s="131">
        <f>P919</f>
        <v>84908985</v>
      </c>
      <c r="Q918" s="131">
        <f>Q919</f>
        <v>96666264</v>
      </c>
      <c r="R918" s="102"/>
      <c r="S918" s="131">
        <f>S919</f>
        <v>96666264</v>
      </c>
    </row>
    <row r="919" spans="1:19" ht="79.5" customHeight="1">
      <c r="A919" s="65" t="s">
        <v>219</v>
      </c>
      <c r="B919" s="24" t="s">
        <v>110</v>
      </c>
      <c r="C919" s="24">
        <v>1003</v>
      </c>
      <c r="D919" s="24" t="s">
        <v>39</v>
      </c>
      <c r="E919" s="24"/>
      <c r="F919" s="80">
        <f>F920+F923</f>
        <v>0</v>
      </c>
      <c r="G919" s="24"/>
      <c r="H919" s="116">
        <f>H920</f>
        <v>81889611</v>
      </c>
      <c r="I919" s="129"/>
      <c r="J919" s="129"/>
      <c r="K919" s="129"/>
      <c r="L919" s="129"/>
      <c r="M919" s="129"/>
      <c r="N919" s="131">
        <f>N920</f>
        <v>84908985</v>
      </c>
      <c r="O919" s="131"/>
      <c r="P919" s="131">
        <f>P920</f>
        <v>84908985</v>
      </c>
      <c r="Q919" s="131">
        <f>Q920</f>
        <v>96666264</v>
      </c>
      <c r="R919" s="102"/>
      <c r="S919" s="131">
        <f>S920</f>
        <v>96666264</v>
      </c>
    </row>
    <row r="920" spans="1:19" ht="83.25" customHeight="1">
      <c r="A920" s="65" t="s">
        <v>273</v>
      </c>
      <c r="B920" s="24" t="s">
        <v>110</v>
      </c>
      <c r="C920" s="24" t="s">
        <v>81</v>
      </c>
      <c r="D920" s="24" t="s">
        <v>274</v>
      </c>
      <c r="E920" s="24"/>
      <c r="F920" s="80">
        <f>F921</f>
        <v>0</v>
      </c>
      <c r="G920" s="24"/>
      <c r="H920" s="116">
        <f>H921+H923+H925</f>
        <v>81889611</v>
      </c>
      <c r="I920" s="129"/>
      <c r="J920" s="129"/>
      <c r="K920" s="129"/>
      <c r="L920" s="129"/>
      <c r="M920" s="129"/>
      <c r="N920" s="131">
        <f>N921+N923+N925</f>
        <v>84908985</v>
      </c>
      <c r="O920" s="131"/>
      <c r="P920" s="131">
        <f>P921+P923+P925</f>
        <v>84908985</v>
      </c>
      <c r="Q920" s="131">
        <f>Q921+Q923+Q925</f>
        <v>96666264</v>
      </c>
      <c r="R920" s="102"/>
      <c r="S920" s="131">
        <f>S921+S923+S925</f>
        <v>96666264</v>
      </c>
    </row>
    <row r="921" spans="1:19" ht="189">
      <c r="A921" s="65" t="s">
        <v>346</v>
      </c>
      <c r="B921" s="24" t="s">
        <v>110</v>
      </c>
      <c r="C921" s="24" t="s">
        <v>81</v>
      </c>
      <c r="D921" s="24" t="s">
        <v>347</v>
      </c>
      <c r="E921" s="24"/>
      <c r="F921" s="80">
        <v>0</v>
      </c>
      <c r="G921" s="24" t="s">
        <v>348</v>
      </c>
      <c r="H921" s="116">
        <f>H922</f>
        <v>7450539</v>
      </c>
      <c r="I921" s="129"/>
      <c r="J921" s="129"/>
      <c r="K921" s="129"/>
      <c r="L921" s="129"/>
      <c r="M921" s="129"/>
      <c r="N921" s="131">
        <f>N922</f>
        <v>7640267</v>
      </c>
      <c r="O921" s="131"/>
      <c r="P921" s="131">
        <f>P922</f>
        <v>7640267</v>
      </c>
      <c r="Q921" s="131">
        <f>Q922</f>
        <v>8825360</v>
      </c>
      <c r="R921" s="102"/>
      <c r="S921" s="131">
        <f>S922</f>
        <v>8825360</v>
      </c>
    </row>
    <row r="922" spans="1:19" ht="47.25">
      <c r="A922" s="66" t="s">
        <v>530</v>
      </c>
      <c r="B922" s="24" t="s">
        <v>110</v>
      </c>
      <c r="C922" s="24" t="s">
        <v>81</v>
      </c>
      <c r="D922" s="24" t="s">
        <v>347</v>
      </c>
      <c r="E922" s="24" t="s">
        <v>155</v>
      </c>
      <c r="F922" s="80"/>
      <c r="G922" s="24"/>
      <c r="H922" s="116">
        <v>7450539</v>
      </c>
      <c r="I922" s="129"/>
      <c r="J922" s="129"/>
      <c r="K922" s="129"/>
      <c r="L922" s="129"/>
      <c r="M922" s="129"/>
      <c r="N922" s="131">
        <v>7640267</v>
      </c>
      <c r="O922" s="131"/>
      <c r="P922" s="116">
        <f>N922+O922</f>
        <v>7640267</v>
      </c>
      <c r="Q922" s="131">
        <v>8825360</v>
      </c>
      <c r="R922" s="102"/>
      <c r="S922" s="116">
        <f>Q922+R922</f>
        <v>8825360</v>
      </c>
    </row>
    <row r="923" spans="1:19" ht="204.75">
      <c r="A923" s="67" t="s">
        <v>349</v>
      </c>
      <c r="B923" s="24" t="s">
        <v>110</v>
      </c>
      <c r="C923" s="24">
        <v>1003</v>
      </c>
      <c r="D923" s="24" t="s">
        <v>350</v>
      </c>
      <c r="E923" s="24"/>
      <c r="F923" s="80">
        <f>F925</f>
        <v>0</v>
      </c>
      <c r="G923" s="24"/>
      <c r="H923" s="116">
        <f>H924</f>
        <v>64545072</v>
      </c>
      <c r="I923" s="129"/>
      <c r="J923" s="129"/>
      <c r="K923" s="129"/>
      <c r="L923" s="129"/>
      <c r="M923" s="129"/>
      <c r="N923" s="131">
        <f>N924</f>
        <v>67004718</v>
      </c>
      <c r="O923" s="131"/>
      <c r="P923" s="131">
        <f>P924</f>
        <v>67004718</v>
      </c>
      <c r="Q923" s="131">
        <f>Q924</f>
        <v>77478904</v>
      </c>
      <c r="R923" s="102"/>
      <c r="S923" s="131">
        <f>S924</f>
        <v>77478904</v>
      </c>
    </row>
    <row r="924" spans="1:19" ht="47.25">
      <c r="A924" s="66" t="s">
        <v>530</v>
      </c>
      <c r="B924" s="24" t="s">
        <v>110</v>
      </c>
      <c r="C924" s="24" t="s">
        <v>81</v>
      </c>
      <c r="D924" s="24" t="s">
        <v>350</v>
      </c>
      <c r="E924" s="24" t="s">
        <v>155</v>
      </c>
      <c r="F924" s="80"/>
      <c r="G924" s="24"/>
      <c r="H924" s="116">
        <v>64545072</v>
      </c>
      <c r="I924" s="129"/>
      <c r="J924" s="129"/>
      <c r="K924" s="129"/>
      <c r="L924" s="129"/>
      <c r="M924" s="129"/>
      <c r="N924" s="131">
        <v>67004718</v>
      </c>
      <c r="O924" s="131"/>
      <c r="P924" s="116">
        <f>N924+O924</f>
        <v>67004718</v>
      </c>
      <c r="Q924" s="131">
        <v>77478904</v>
      </c>
      <c r="R924" s="102"/>
      <c r="S924" s="116">
        <f>Q924+R924</f>
        <v>77478904</v>
      </c>
    </row>
    <row r="925" spans="1:19" ht="204.75">
      <c r="A925" s="67" t="s">
        <v>351</v>
      </c>
      <c r="B925" s="24" t="s">
        <v>110</v>
      </c>
      <c r="C925" s="24" t="s">
        <v>81</v>
      </c>
      <c r="D925" s="24" t="s">
        <v>352</v>
      </c>
      <c r="E925" s="24"/>
      <c r="F925" s="80">
        <v>0</v>
      </c>
      <c r="G925" s="24" t="s">
        <v>353</v>
      </c>
      <c r="H925" s="116">
        <f>H926</f>
        <v>9894000</v>
      </c>
      <c r="I925" s="129"/>
      <c r="J925" s="129"/>
      <c r="K925" s="129"/>
      <c r="L925" s="129"/>
      <c r="M925" s="129"/>
      <c r="N925" s="131">
        <f>N926</f>
        <v>10264000</v>
      </c>
      <c r="O925" s="131"/>
      <c r="P925" s="131">
        <f>P926</f>
        <v>10264000</v>
      </c>
      <c r="Q925" s="131">
        <f>Q926</f>
        <v>10362000</v>
      </c>
      <c r="R925" s="102"/>
      <c r="S925" s="131">
        <f>S926</f>
        <v>10362000</v>
      </c>
    </row>
    <row r="926" spans="1:19" ht="47.25">
      <c r="A926" s="64" t="s">
        <v>142</v>
      </c>
      <c r="B926" s="31" t="s">
        <v>110</v>
      </c>
      <c r="C926" s="31" t="s">
        <v>81</v>
      </c>
      <c r="D926" s="31" t="s">
        <v>352</v>
      </c>
      <c r="E926" s="31" t="s">
        <v>143</v>
      </c>
      <c r="F926" s="154"/>
      <c r="G926" s="31"/>
      <c r="H926" s="104">
        <v>9894000</v>
      </c>
      <c r="I926" s="105"/>
      <c r="J926" s="105"/>
      <c r="K926" s="105"/>
      <c r="L926" s="105"/>
      <c r="M926" s="105"/>
      <c r="N926" s="107">
        <v>10264000</v>
      </c>
      <c r="O926" s="107"/>
      <c r="P926" s="116">
        <f>N926+O926</f>
        <v>10264000</v>
      </c>
      <c r="Q926" s="107">
        <v>10362000</v>
      </c>
      <c r="R926" s="102"/>
      <c r="S926" s="116">
        <f>Q926+R926</f>
        <v>10362000</v>
      </c>
    </row>
    <row r="927" spans="1:19" ht="25.5" customHeight="1">
      <c r="A927" s="64" t="s">
        <v>354</v>
      </c>
      <c r="B927" s="31" t="s">
        <v>110</v>
      </c>
      <c r="C927" s="31" t="s">
        <v>123</v>
      </c>
      <c r="D927" s="31"/>
      <c r="E927" s="31"/>
      <c r="F927" s="154"/>
      <c r="G927" s="31"/>
      <c r="H927" s="104">
        <f>H928</f>
        <v>3025389</v>
      </c>
      <c r="I927" s="104">
        <f aca="true" t="shared" si="98" ref="I927:S927">I928</f>
        <v>0</v>
      </c>
      <c r="J927" s="104">
        <f t="shared" si="98"/>
        <v>0</v>
      </c>
      <c r="K927" s="104">
        <f t="shared" si="98"/>
        <v>0</v>
      </c>
      <c r="L927" s="104">
        <f t="shared" si="98"/>
        <v>0</v>
      </c>
      <c r="M927" s="104">
        <f t="shared" si="98"/>
        <v>0</v>
      </c>
      <c r="N927" s="104">
        <f t="shared" si="98"/>
        <v>2629015</v>
      </c>
      <c r="O927" s="104"/>
      <c r="P927" s="104">
        <f t="shared" si="98"/>
        <v>2629015</v>
      </c>
      <c r="Q927" s="104">
        <f t="shared" si="98"/>
        <v>2760736</v>
      </c>
      <c r="R927" s="102"/>
      <c r="S927" s="104">
        <f t="shared" si="98"/>
        <v>2760736</v>
      </c>
    </row>
    <row r="928" spans="1:19" ht="32.25" customHeight="1">
      <c r="A928" s="65" t="s">
        <v>355</v>
      </c>
      <c r="B928" s="31" t="s">
        <v>110</v>
      </c>
      <c r="C928" s="31" t="s">
        <v>123</v>
      </c>
      <c r="D928" s="31" t="s">
        <v>222</v>
      </c>
      <c r="E928" s="31"/>
      <c r="F928" s="154"/>
      <c r="G928" s="31"/>
      <c r="H928" s="104">
        <f>H929+H933</f>
        <v>3025389</v>
      </c>
      <c r="I928" s="105"/>
      <c r="J928" s="105"/>
      <c r="K928" s="105"/>
      <c r="L928" s="105"/>
      <c r="M928" s="105"/>
      <c r="N928" s="107">
        <f>N929+N933</f>
        <v>2629015</v>
      </c>
      <c r="O928" s="107"/>
      <c r="P928" s="107">
        <f>P929+P933</f>
        <v>2629015</v>
      </c>
      <c r="Q928" s="107">
        <f>Q929+Q933</f>
        <v>2760736</v>
      </c>
      <c r="R928" s="102"/>
      <c r="S928" s="107">
        <f>S929+S933</f>
        <v>2760736</v>
      </c>
    </row>
    <row r="929" spans="1:19" ht="25.5" customHeight="1">
      <c r="A929" s="70" t="s">
        <v>356</v>
      </c>
      <c r="B929" s="31" t="s">
        <v>110</v>
      </c>
      <c r="C929" s="31" t="s">
        <v>123</v>
      </c>
      <c r="D929" s="31" t="s">
        <v>357</v>
      </c>
      <c r="E929" s="31"/>
      <c r="F929" s="154"/>
      <c r="G929" s="31"/>
      <c r="H929" s="104">
        <f>H930+H931+H932</f>
        <v>346461</v>
      </c>
      <c r="I929" s="105"/>
      <c r="J929" s="105"/>
      <c r="K929" s="105"/>
      <c r="L929" s="105"/>
      <c r="M929" s="105"/>
      <c r="N929" s="107">
        <f>N930+N931+N932</f>
        <v>390733</v>
      </c>
      <c r="O929" s="107"/>
      <c r="P929" s="107">
        <f>P930+P931+P932</f>
        <v>390733</v>
      </c>
      <c r="Q929" s="107">
        <f>Q930+Q931+Q932</f>
        <v>410640</v>
      </c>
      <c r="R929" s="102"/>
      <c r="S929" s="107">
        <f>S930+S931+S932</f>
        <v>410640</v>
      </c>
    </row>
    <row r="930" spans="1:19" ht="33" customHeight="1">
      <c r="A930" s="64" t="s">
        <v>130</v>
      </c>
      <c r="B930" s="31" t="s">
        <v>110</v>
      </c>
      <c r="C930" s="31" t="s">
        <v>123</v>
      </c>
      <c r="D930" s="31" t="s">
        <v>357</v>
      </c>
      <c r="E930" s="31" t="s">
        <v>134</v>
      </c>
      <c r="F930" s="154"/>
      <c r="G930" s="31"/>
      <c r="H930" s="104">
        <v>600</v>
      </c>
      <c r="I930" s="105"/>
      <c r="J930" s="105"/>
      <c r="K930" s="105"/>
      <c r="L930" s="105"/>
      <c r="M930" s="105"/>
      <c r="N930" s="107">
        <v>600</v>
      </c>
      <c r="O930" s="107"/>
      <c r="P930" s="116">
        <f aca="true" t="shared" si="99" ref="P930:P937">N930+O930</f>
        <v>600</v>
      </c>
      <c r="Q930" s="107">
        <v>600</v>
      </c>
      <c r="R930" s="102"/>
      <c r="S930" s="116">
        <f aca="true" t="shared" si="100" ref="S930:S937">Q930+R930</f>
        <v>600</v>
      </c>
    </row>
    <row r="931" spans="1:19" ht="36" customHeight="1">
      <c r="A931" s="71" t="s">
        <v>131</v>
      </c>
      <c r="B931" s="31" t="s">
        <v>110</v>
      </c>
      <c r="C931" s="31" t="s">
        <v>123</v>
      </c>
      <c r="D931" s="31" t="s">
        <v>357</v>
      </c>
      <c r="E931" s="31" t="s">
        <v>135</v>
      </c>
      <c r="F931" s="154"/>
      <c r="G931" s="31"/>
      <c r="H931" s="104">
        <v>94796</v>
      </c>
      <c r="I931" s="105"/>
      <c r="J931" s="105"/>
      <c r="K931" s="105"/>
      <c r="L931" s="105"/>
      <c r="M931" s="105"/>
      <c r="N931" s="107">
        <v>97680</v>
      </c>
      <c r="O931" s="107"/>
      <c r="P931" s="116">
        <f t="shared" si="99"/>
        <v>97680</v>
      </c>
      <c r="Q931" s="107">
        <v>102660</v>
      </c>
      <c r="R931" s="102"/>
      <c r="S931" s="116">
        <f t="shared" si="100"/>
        <v>102660</v>
      </c>
    </row>
    <row r="932" spans="1:19" ht="33.75" customHeight="1">
      <c r="A932" s="71" t="s">
        <v>161</v>
      </c>
      <c r="B932" s="31" t="s">
        <v>110</v>
      </c>
      <c r="C932" s="31" t="s">
        <v>123</v>
      </c>
      <c r="D932" s="31" t="s">
        <v>357</v>
      </c>
      <c r="E932" s="31" t="s">
        <v>136</v>
      </c>
      <c r="F932" s="154"/>
      <c r="G932" s="31"/>
      <c r="H932" s="104">
        <v>251065</v>
      </c>
      <c r="I932" s="105"/>
      <c r="J932" s="105"/>
      <c r="K932" s="105"/>
      <c r="L932" s="105"/>
      <c r="M932" s="105"/>
      <c r="N932" s="107">
        <v>292453</v>
      </c>
      <c r="O932" s="107"/>
      <c r="P932" s="116">
        <f t="shared" si="99"/>
        <v>292453</v>
      </c>
      <c r="Q932" s="107">
        <v>307380</v>
      </c>
      <c r="R932" s="102"/>
      <c r="S932" s="116">
        <f t="shared" si="100"/>
        <v>307380</v>
      </c>
    </row>
    <row r="933" spans="1:19" ht="21.75" customHeight="1">
      <c r="A933" s="70" t="s">
        <v>358</v>
      </c>
      <c r="B933" s="31" t="s">
        <v>110</v>
      </c>
      <c r="C933" s="31" t="s">
        <v>123</v>
      </c>
      <c r="D933" s="31" t="s">
        <v>359</v>
      </c>
      <c r="E933" s="31"/>
      <c r="F933" s="154"/>
      <c r="G933" s="31"/>
      <c r="H933" s="104">
        <f>H934+H935+H936+H937</f>
        <v>2678928</v>
      </c>
      <c r="I933" s="105"/>
      <c r="J933" s="105"/>
      <c r="K933" s="105"/>
      <c r="L933" s="105"/>
      <c r="M933" s="105"/>
      <c r="N933" s="107">
        <v>2238282</v>
      </c>
      <c r="O933" s="107"/>
      <c r="P933" s="107">
        <v>2238282</v>
      </c>
      <c r="Q933" s="107">
        <v>2350096</v>
      </c>
      <c r="R933" s="102"/>
      <c r="S933" s="107">
        <v>2350096</v>
      </c>
    </row>
    <row r="934" spans="1:19" ht="22.5" customHeight="1">
      <c r="A934" s="64" t="s">
        <v>129</v>
      </c>
      <c r="B934" s="31" t="s">
        <v>110</v>
      </c>
      <c r="C934" s="31" t="s">
        <v>123</v>
      </c>
      <c r="D934" s="31" t="s">
        <v>359</v>
      </c>
      <c r="E934" s="31" t="s">
        <v>133</v>
      </c>
      <c r="F934" s="154"/>
      <c r="G934" s="31"/>
      <c r="H934" s="104">
        <v>217695</v>
      </c>
      <c r="I934" s="105"/>
      <c r="J934" s="105"/>
      <c r="K934" s="105"/>
      <c r="L934" s="105"/>
      <c r="M934" s="105"/>
      <c r="N934" s="107">
        <v>179060</v>
      </c>
      <c r="O934" s="107"/>
      <c r="P934" s="116">
        <f t="shared" si="99"/>
        <v>179060</v>
      </c>
      <c r="Q934" s="107">
        <v>198750</v>
      </c>
      <c r="R934" s="102"/>
      <c r="S934" s="116">
        <f t="shared" si="100"/>
        <v>198750</v>
      </c>
    </row>
    <row r="935" spans="1:19" ht="36.75" customHeight="1">
      <c r="A935" s="64" t="s">
        <v>130</v>
      </c>
      <c r="B935" s="31" t="s">
        <v>110</v>
      </c>
      <c r="C935" s="31" t="s">
        <v>123</v>
      </c>
      <c r="D935" s="31" t="s">
        <v>359</v>
      </c>
      <c r="E935" s="31" t="s">
        <v>134</v>
      </c>
      <c r="F935" s="154"/>
      <c r="G935" s="31"/>
      <c r="H935" s="104">
        <v>2000</v>
      </c>
      <c r="I935" s="105"/>
      <c r="J935" s="105"/>
      <c r="K935" s="105"/>
      <c r="L935" s="105"/>
      <c r="M935" s="105"/>
      <c r="N935" s="107">
        <v>2000</v>
      </c>
      <c r="O935" s="107"/>
      <c r="P935" s="116">
        <f t="shared" si="99"/>
        <v>2000</v>
      </c>
      <c r="Q935" s="107">
        <v>2000</v>
      </c>
      <c r="R935" s="102"/>
      <c r="S935" s="116">
        <f t="shared" si="100"/>
        <v>2000</v>
      </c>
    </row>
    <row r="936" spans="1:19" ht="35.25" customHeight="1">
      <c r="A936" s="71" t="s">
        <v>131</v>
      </c>
      <c r="B936" s="31" t="s">
        <v>110</v>
      </c>
      <c r="C936" s="31" t="s">
        <v>123</v>
      </c>
      <c r="D936" s="31" t="s">
        <v>359</v>
      </c>
      <c r="E936" s="31" t="s">
        <v>135</v>
      </c>
      <c r="F936" s="154"/>
      <c r="G936" s="31"/>
      <c r="H936" s="104">
        <v>438443</v>
      </c>
      <c r="I936" s="105"/>
      <c r="J936" s="105"/>
      <c r="K936" s="105"/>
      <c r="L936" s="105"/>
      <c r="M936" s="105"/>
      <c r="N936" s="107">
        <v>356132</v>
      </c>
      <c r="O936" s="107"/>
      <c r="P936" s="116">
        <f t="shared" si="99"/>
        <v>356132</v>
      </c>
      <c r="Q936" s="107">
        <v>36800</v>
      </c>
      <c r="R936" s="102"/>
      <c r="S936" s="116">
        <f t="shared" si="100"/>
        <v>36800</v>
      </c>
    </row>
    <row r="937" spans="1:19" ht="36.75" customHeight="1">
      <c r="A937" s="71" t="s">
        <v>161</v>
      </c>
      <c r="B937" s="31" t="s">
        <v>110</v>
      </c>
      <c r="C937" s="31" t="s">
        <v>123</v>
      </c>
      <c r="D937" s="31" t="s">
        <v>359</v>
      </c>
      <c r="E937" s="31" t="s">
        <v>136</v>
      </c>
      <c r="F937" s="156"/>
      <c r="G937" s="103"/>
      <c r="H937" s="110">
        <v>2020790</v>
      </c>
      <c r="I937" s="105"/>
      <c r="J937" s="105"/>
      <c r="K937" s="105"/>
      <c r="L937" s="105"/>
      <c r="M937" s="105"/>
      <c r="N937" s="111">
        <v>1701090</v>
      </c>
      <c r="O937" s="111"/>
      <c r="P937" s="116">
        <f t="shared" si="99"/>
        <v>1701090</v>
      </c>
      <c r="Q937" s="111">
        <v>2112546</v>
      </c>
      <c r="R937" s="102"/>
      <c r="S937" s="116">
        <f t="shared" si="100"/>
        <v>2112546</v>
      </c>
    </row>
    <row r="938" spans="1:19" ht="15.75">
      <c r="A938" s="189" t="s">
        <v>477</v>
      </c>
      <c r="B938" s="2"/>
      <c r="C938" s="11"/>
      <c r="D938" s="3"/>
      <c r="E938" s="3"/>
      <c r="F938" s="142"/>
      <c r="G938" s="102"/>
      <c r="H938" s="120" t="e">
        <f aca="true" t="shared" si="101" ref="H938:N938">H917+H890+H884+H868</f>
        <v>#REF!</v>
      </c>
      <c r="I938" s="120">
        <f t="shared" si="101"/>
        <v>0</v>
      </c>
      <c r="J938" s="120">
        <f t="shared" si="101"/>
        <v>0</v>
      </c>
      <c r="K938" s="120">
        <f t="shared" si="101"/>
        <v>0</v>
      </c>
      <c r="L938" s="120">
        <f t="shared" si="101"/>
        <v>0</v>
      </c>
      <c r="M938" s="120">
        <f t="shared" si="101"/>
        <v>0</v>
      </c>
      <c r="N938" s="120">
        <f t="shared" si="101"/>
        <v>403794900</v>
      </c>
      <c r="O938" s="120"/>
      <c r="P938" s="204">
        <f>P917+P890+P884+P868</f>
        <v>403794900</v>
      </c>
      <c r="Q938" s="204">
        <f>Q917+Q890+Q884+Q868</f>
        <v>448958400</v>
      </c>
      <c r="R938" s="205"/>
      <c r="S938" s="204">
        <f>S917+S890+S884+S868</f>
        <v>448958400</v>
      </c>
    </row>
  </sheetData>
  <sheetProtection selectLockedCells="1" selectUnlockedCells="1"/>
  <autoFilter ref="D1:D938"/>
  <mergeCells count="23">
    <mergeCell ref="A4:S4"/>
    <mergeCell ref="E5:E6"/>
    <mergeCell ref="S858:S859"/>
    <mergeCell ref="P858:P859"/>
    <mergeCell ref="C5:C6"/>
    <mergeCell ref="F464:F467"/>
    <mergeCell ref="C1:S1"/>
    <mergeCell ref="A3:E3"/>
    <mergeCell ref="A858:A859"/>
    <mergeCell ref="A5:A6"/>
    <mergeCell ref="S464:S467"/>
    <mergeCell ref="D5:D6"/>
    <mergeCell ref="E858:E859"/>
    <mergeCell ref="C858:C859"/>
    <mergeCell ref="D858:D859"/>
    <mergeCell ref="N858:N859"/>
    <mergeCell ref="A863:S866"/>
    <mergeCell ref="N5:S5"/>
    <mergeCell ref="Q858:Q859"/>
    <mergeCell ref="H464:H467"/>
    <mergeCell ref="R858:R859"/>
    <mergeCell ref="N464:Q467"/>
    <mergeCell ref="A464:E467"/>
  </mergeCells>
  <printOptions/>
  <pageMargins left="0.78" right="0.18" top="0.17" bottom="0.1968503937007874" header="0.2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natevg</cp:lastModifiedBy>
  <cp:lastPrinted>2014-03-21T04:26:58Z</cp:lastPrinted>
  <dcterms:created xsi:type="dcterms:W3CDTF">2007-11-30T10:50:47Z</dcterms:created>
  <dcterms:modified xsi:type="dcterms:W3CDTF">2014-05-28T03:35:13Z</dcterms:modified>
  <cp:category/>
  <cp:version/>
  <cp:contentType/>
  <cp:contentStatus/>
</cp:coreProperties>
</file>