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1" windowWidth="140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<sst xmlns="http://schemas.openxmlformats.org/spreadsheetml/2006/main" count="2839" uniqueCount="662">
  <si>
    <t>Подпрограмма «Развитие системы дошкольного образования в Свердловской области»</t>
  </si>
  <si>
    <t>0210000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</si>
  <si>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</t>
  </si>
  <si>
    <t>0211512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</si>
  <si>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</si>
  <si>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</si>
  <si>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</si>
  <si>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</si>
  <si>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</si>
  <si>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</si>
  <si>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</si>
  <si>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</si>
  <si>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 xml:space="preserve"> Создание дополнительных мест в муниципальных системах дошкольного образования</t>
  </si>
  <si>
    <t>0212506</t>
  </si>
  <si>
    <t>464</t>
  </si>
  <si>
    <t>июнь</t>
  </si>
  <si>
    <t>406531,14</t>
  </si>
  <si>
    <t>-160,000</t>
  </si>
  <si>
    <t>191094,09</t>
  </si>
  <si>
    <t>Субсидии автономным учреждениям  на финансовое обеспечение  муниципального задания на оказание муниципальных услуг (выполнение работ)</t>
  </si>
  <si>
    <t>-15154453,00</t>
  </si>
  <si>
    <t>-2582547,00</t>
  </si>
  <si>
    <t>Субсидии  автономным учреждениям на финансовое обеспечение муниципального задания на оказание муниципальных услуг (выполнение работ)</t>
  </si>
  <si>
    <t>-600000,00</t>
  </si>
  <si>
    <t>600000,00</t>
  </si>
  <si>
    <t>Межевание земельных участков, составление технических планов</t>
  </si>
  <si>
    <t>Независимая оценка объектов недвижимости</t>
  </si>
  <si>
    <t>Подпрограмма«Развитие системы общего образования в Муниципальном образовании Красноуфимский округ»</t>
  </si>
  <si>
    <t>0220000</t>
  </si>
  <si>
    <t>Обеспечение государственных  гарантий прав граждан на получение  общего образования в муниципальных общеобразовательных организациях</t>
  </si>
  <si>
    <t>0224530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</si>
  <si>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</si>
  <si>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0224540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</si>
  <si>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</si>
  <si>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0222502</t>
  </si>
  <si>
    <t>622</t>
  </si>
  <si>
    <t>Субсидии автономным учреждениям на иные цели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</si>
  <si>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</si>
  <si>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</si>
  <si>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Закупка товаров, работ  услуг в целях капитального ремонта муниципального имущества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</si>
  <si>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</si>
  <si>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</si>
  <si>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</si>
  <si>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</si>
  <si>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</si>
  <si>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>0222508</t>
  </si>
  <si>
    <t>Создание условий для организации военно-патриотического воспитания учащихся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</si>
  <si>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</si>
  <si>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</si>
  <si>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</si>
  <si>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</si>
  <si>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</si>
  <si>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</si>
  <si>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</si>
  <si>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</si>
  <si>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</si>
  <si>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</si>
  <si>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</si>
  <si>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Поддержка социально ориентированных некоммерческих организаций и объединений</t>
  </si>
  <si>
    <t xml:space="preserve"> 0702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</si>
  <si>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</si>
  <si>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на осуществление капитальных вложений в объекты капитального строительства  муниципальной собственности бюджетным учреждениям</t>
  </si>
  <si>
    <t>Бюджетные инвестиции в объекты капитального стороительства  муниципальной собственности</t>
  </si>
  <si>
    <t>Субсидии автономнымучреждениям на финансовое обеспечение муниципального задания на оказание муниципальных услуг</t>
  </si>
  <si>
    <t>субсидии автономным учреждениям на финнансовое обеспечение муниципального задания на оказание муниципальных услуг (выполнение работ)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</si>
  <si>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</si>
  <si>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0242502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</si>
  <si>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</si>
  <si>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r>
      <t xml:space="preserve"> </t>
    </r>
    <r>
      <rPr>
        <sz val="12"/>
        <rFont val="Times New Roman"/>
        <family val="1"/>
      </rPr>
      <t>Обеспечение мероприятий по укреплению и развитию материально-технической базы муниципальных образовательных организаций</t>
    </r>
  </si>
  <si>
    <t>0250000</t>
  </si>
  <si>
    <t>0252501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</si>
  <si>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</si>
  <si>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0252502</t>
  </si>
  <si>
    <t>Непрограммные расходы</t>
  </si>
  <si>
    <t>Резервный фонд субъекта РФ</t>
  </si>
  <si>
    <t>Строительство и реконструкция объектов муниципальной собственности физической культуры и массового спорта</t>
  </si>
  <si>
    <t>0254810</t>
  </si>
  <si>
    <t>465</t>
  </si>
  <si>
    <t>Субсидии на осуществление капитальных вложений в объекты капитального строительства  муниципальной собственности автономным учреждениям</t>
  </si>
  <si>
    <t>1014280</t>
  </si>
  <si>
    <t>Исполнение судебных актов  по искам к бюджету округа</t>
  </si>
  <si>
    <t xml:space="preserve">Оказание государственной поддержки на конкурсной основе лучшим работникам муниципальных учреждений культуры за счет средств федерального бюджета </t>
  </si>
  <si>
    <t>0315148</t>
  </si>
  <si>
    <t>Мероприятия на проведение капитального ремонта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за счет средств областного бюджета</t>
  </si>
  <si>
    <t>0314630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</si>
  <si>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</si>
  <si>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1124960</t>
  </si>
  <si>
    <t>1125018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</si>
  <si>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</si>
  <si>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0124390</t>
  </si>
  <si>
    <t>Приложение № 5                                                                                      к решению Думы  МО Красноуфимский округ "О внесении изменений в решение Думы МО Красноуфимский округ от 19.12.2013 г. " 177 "О бюджете МО Красноуфимский округ на 2014 год и плановый период 2015-2016 годов"  от   25.09.2014 г. № 249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</si>
  <si>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</si>
  <si>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</si>
  <si>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Обеспечение мероприятий по укреплению и развитию материально-технической базы муниципальных учреждений дополнительного образования детей (ДЮСШ)</t>
  </si>
  <si>
    <t>0252504</t>
  </si>
  <si>
    <t xml:space="preserve"> Исполнение судебных актов  по искам к бюджету округа, возникших в результате неисполнения обязательств по муниципальным гарантиям  за счет межбюджетных трансфертов из областного бюджета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</si>
  <si>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</si>
  <si>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</si>
  <si>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</si>
  <si>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</si>
  <si>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</si>
  <si>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7002901</t>
  </si>
  <si>
    <t>Организация и проведение муниципальных мероприятий в сфере образования</t>
  </si>
  <si>
    <t>0262504</t>
  </si>
  <si>
    <t>0811001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</si>
  <si>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</si>
  <si>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0800000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</si>
  <si>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</si>
  <si>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0810000</t>
  </si>
  <si>
    <t xml:space="preserve">Обеспечение деятельности органов местного самоуправления (центральный аппарат) </t>
  </si>
  <si>
    <t>Обеспечение деятельности главы администрации</t>
  </si>
  <si>
    <t>0811004</t>
  </si>
  <si>
    <t>Обеспечение деятельности территориальных органов местного самоуправления</t>
  </si>
  <si>
    <t>0811002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</si>
  <si>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</si>
  <si>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</si>
  <si>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0830000</t>
  </si>
  <si>
    <t>Непрогаммные направления расходов</t>
  </si>
  <si>
    <t>Резервные фонды</t>
  </si>
  <si>
    <t>7000000</t>
  </si>
  <si>
    <t>7002100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</si>
  <si>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</si>
  <si>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"Организация общественных работ"</t>
  </si>
  <si>
    <t>0630000</t>
  </si>
  <si>
    <t>0632101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</si>
  <si>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</si>
  <si>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</si>
  <si>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0822101</t>
  </si>
  <si>
    <t>Прочие выплаты по обязательствам Муниципального образования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</si>
  <si>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в общественно-политической газете «Вперед» </t>
  </si>
  <si>
    <t>0822102</t>
  </si>
  <si>
    <t>0822103</t>
  </si>
  <si>
    <t>Осуществление государственного полномочия по созданию административных комиссий</t>
  </si>
  <si>
    <t>0824110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</si>
  <si>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</si>
  <si>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</si>
  <si>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0840000</t>
  </si>
  <si>
    <t>0844610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</si>
  <si>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</si>
  <si>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Оказание услуг (выполнение работ ) муниципальным учреждением.</t>
  </si>
  <si>
    <t>0860000</t>
  </si>
  <si>
    <t>0862000</t>
  </si>
  <si>
    <t>0862001</t>
  </si>
  <si>
    <t>август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</si>
  <si>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</si>
  <si>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</si>
  <si>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0775118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</si>
  <si>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</si>
  <si>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Подпрограмма "Развитие потенциала молодежи в  МО Красноуфимский округ до 2020г"</t>
  </si>
  <si>
    <t>Резервные средства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</si>
  <si>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</si>
  <si>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</si>
  <si>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</si>
  <si>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Организация деятельности по программе "Молодежь МО  Красноуфимский округ"</t>
  </si>
  <si>
    <t>0500000</t>
  </si>
  <si>
    <t>0522800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</si>
  <si>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</si>
  <si>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</si>
  <si>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</si>
  <si>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"Организация трудоустройства несовершеннолетних граждан в МО Красноуфимский округ"</t>
  </si>
  <si>
    <t>Трудоустройство несовершеннолетних граждан МО Красноуфимский округ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</si>
  <si>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</si>
  <si>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</si>
  <si>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0532800</t>
  </si>
  <si>
    <t>0532801</t>
  </si>
  <si>
    <t>0542800</t>
  </si>
  <si>
    <t>0542801</t>
  </si>
  <si>
    <t>Непрограммные направления  расходов</t>
  </si>
  <si>
    <t>7002900</t>
  </si>
  <si>
    <t>0610000</t>
  </si>
  <si>
    <t>0612901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</si>
  <si>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</si>
  <si>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0512800</t>
  </si>
  <si>
    <t>0512801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</si>
  <si>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</si>
  <si>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</si>
  <si>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Содержание муниципального жилья</t>
  </si>
  <si>
    <t>0110000</t>
  </si>
  <si>
    <t>0100000</t>
  </si>
  <si>
    <t>0130000</t>
  </si>
  <si>
    <t>0132102</t>
  </si>
  <si>
    <t>Подпрограмма" Развитие культуры и искусства в МО Красноуфимский округ до 2020года"</t>
  </si>
  <si>
    <t>0300000</t>
  </si>
  <si>
    <t>0312600</t>
  </si>
  <si>
    <t>0312601</t>
  </si>
  <si>
    <t>Организация деятельности учреждений культуры и искусства культурно-досуговой сферы за счет доходов от оказания платных услуг</t>
  </si>
  <si>
    <t>0312602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</si>
  <si>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</si>
  <si>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0312603</t>
  </si>
  <si>
    <t>Создание условий  для развития местного народного творчества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</si>
  <si>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</si>
  <si>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Мероприятия  в сфере культуры и искусства для незащищенных слоев населения</t>
  </si>
  <si>
    <t>0312604</t>
  </si>
  <si>
    <t>0312605</t>
  </si>
  <si>
    <t>0312606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</si>
  <si>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</si>
  <si>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0331001</t>
  </si>
  <si>
    <t>0330000</t>
  </si>
  <si>
    <t>Организация деятельности  учреждений культуры и искусства культурно-досуговой сферы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</si>
  <si>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</si>
  <si>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</si>
  <si>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0322601</t>
  </si>
  <si>
    <t>7001005</t>
  </si>
  <si>
    <t>1031001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</si>
  <si>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</si>
  <si>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0622303</t>
  </si>
  <si>
    <t>0622301</t>
  </si>
  <si>
    <t>Муниципальная программа МО Красноуфимский округ "Управление муниципальными финансами МО Красноуфимский округ до 2020года"</t>
  </si>
  <si>
    <t>1000000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</si>
  <si>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</si>
  <si>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</si>
  <si>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1012100</t>
  </si>
  <si>
    <t>0131001</t>
  </si>
  <si>
    <t>0320000</t>
  </si>
  <si>
    <t>Подпрограмма  "Социальная поддержка граждани и осуществление переданных полномочий РФ и СО  по предоставлению поддержки отдельных категорий граждан в МО Красноуфимский округ"</t>
  </si>
  <si>
    <t>0852301</t>
  </si>
  <si>
    <t>Подпрограмма "Информатизация МО Красноуфимский округ до 2020 года"</t>
  </si>
  <si>
    <t>0112101</t>
  </si>
  <si>
    <t>0831001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</si>
  <si>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</si>
  <si>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</si>
  <si>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</si>
  <si>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Программа " Развитие системы образования МО Красноуфимский округ до 2020 года"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</si>
  <si>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</si>
  <si>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0261001</t>
  </si>
  <si>
    <t>0132103</t>
  </si>
  <si>
    <t>1022100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</si>
  <si>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</si>
  <si>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0310000</t>
  </si>
  <si>
    <t>0510000</t>
  </si>
  <si>
    <t>Организация и проведение мероприятий в сфере физической культуры и спорта</t>
  </si>
  <si>
    <t>0520000</t>
  </si>
  <si>
    <t>0530000</t>
  </si>
  <si>
    <t>0540000</t>
  </si>
  <si>
    <t>0552800</t>
  </si>
  <si>
    <t>0552801</t>
  </si>
  <si>
    <t>0550000</t>
  </si>
  <si>
    <t>1030000</t>
  </si>
  <si>
    <t>1010000</t>
  </si>
  <si>
    <t>1020000</t>
  </si>
  <si>
    <t>0850000</t>
  </si>
  <si>
    <t>Мероприятия по обеспечению перевода муниципальных услуг в электронный вид</t>
  </si>
  <si>
    <t>Подпрограмма  "Развитие транспорта и транспортной инфраструктуры в МО Красноуфимский округ"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</si>
  <si>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</si>
  <si>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Субсидии бюджетным учреждениям на иные цели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</si>
  <si>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</si>
  <si>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</si>
  <si>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</si>
  <si>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</si>
  <si>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</si>
  <si>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 xml:space="preserve">Пособия и компенсации гражданам и иные социальные выплаты, кроме публичных нормативных обязательств
</t>
  </si>
  <si>
    <t>321</t>
  </si>
  <si>
    <t>08110П2</t>
  </si>
  <si>
    <t xml:space="preserve">Обеспечение деятельности органов местного самоуправления (прочий персонал) </t>
  </si>
  <si>
    <t>08110П1</t>
  </si>
  <si>
    <t>0824120</t>
  </si>
  <si>
    <t>02610П1</t>
  </si>
  <si>
    <t>Руководство и управление в сфере установленных функций органов государственной власти субъектов РФ и органов местного самоуправления (прочий персонал)</t>
  </si>
  <si>
    <t>Обеспечение деятельности финансовых органов (прочий персонал)</t>
  </si>
  <si>
    <t>10310П1</t>
  </si>
  <si>
    <t>Организация деятельности органа местного самоуправления в сфере образования ( прочий персонал)</t>
  </si>
  <si>
    <t>Разработка документации по планировке территории за счет средств областного бюджета</t>
  </si>
  <si>
    <t>0404360</t>
  </si>
  <si>
    <t>Резервный фонд субъектов РФ</t>
  </si>
  <si>
    <t>7004070</t>
  </si>
  <si>
    <t>Модернизация систем и объектов коммунальной инфраструктуры, наружного освещения населенных пунктов за счет средств обл. бюджета</t>
  </si>
  <si>
    <t>Пособия, компенсации, меры социальной поддержки по публичным нормативным обязательствам</t>
  </si>
  <si>
    <t>414</t>
  </si>
  <si>
    <t>0255097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</si>
  <si>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(капитальный ремонт спортивных залов) </t>
  </si>
  <si>
    <t>Закупка товаров, работ, услуг в целях капитального ремонта государственного (муниципального)  имущества</t>
  </si>
  <si>
    <t>Бюджетные инвестиции в объекты капитального строительства муниципальной собственности</t>
  </si>
  <si>
    <t>Обеспечение деятельности по предоставлению субсидий на реализацию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</t>
  </si>
  <si>
    <t>Подпрограмма "Обеспечение реализации муниципальной программы "Повышение эффективности управления муниципальной собственностью МО Красноуфимский округ до 2020 года"</t>
  </si>
  <si>
    <t>Подпрограмма "Улучшение жилищных условий граждан, проживающих на территории МО Красноуфимский округ"</t>
  </si>
  <si>
    <t>0140000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</si>
  <si>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</si>
  <si>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0142301</t>
  </si>
  <si>
    <t>09342БО</t>
  </si>
  <si>
    <t>0122302</t>
  </si>
  <si>
    <t>7004150</t>
  </si>
  <si>
    <t>Строительство и реконструкция зданий дошкольных образовательных организаций за счет межбюджетных трансфертов из федерального бюджета</t>
  </si>
  <si>
    <t>Субсидии на осуществление капитальных вложений в объекты капитального строительства муниципальной собственности бюджетным учреждениям</t>
  </si>
  <si>
    <t>0215059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</si>
  <si>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 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</si>
  <si>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0914220</t>
  </si>
  <si>
    <t>Обеспечение деятельности на развитие и модернизацию систем коммунальной инфраструктуры теплоотведения, водоснабжения и водоотведения, а также объектов, используемых для утилизации, обезвреживания и захоронения бытовых отходов</t>
  </si>
  <si>
    <t>Подпрограмма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</si>
  <si>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0964270</t>
  </si>
  <si>
    <t>0214511</t>
  </si>
  <si>
    <t>0214512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</si>
  <si>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игр. игрушек</t>
  </si>
  <si>
    <t>0224531</t>
  </si>
  <si>
    <t>0932305</t>
  </si>
  <si>
    <t>Мероприятия по обеспечению подключения к единой сети передачи данных Правительства СО, государственных и муниципальных учреждений</t>
  </si>
  <si>
    <t>0852302</t>
  </si>
  <si>
    <t>Мероприятия по организации центров доступа граждан к сети Интернет на базе муниципальных библиотек</t>
  </si>
  <si>
    <t>0852305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</si>
  <si>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оплату труда работников общеобразовательных организаций</t>
  </si>
  <si>
    <t>май</t>
  </si>
  <si>
    <t>Подготовка молодых граждан к военной службе</t>
  </si>
  <si>
    <t>0534840</t>
  </si>
  <si>
    <t>0854140</t>
  </si>
  <si>
    <t>Мероприятия по информатизации МО Красноуфимский округ за счет средств областного бюджета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</si>
  <si>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обучения. игр,игрушек</t>
  </si>
  <si>
    <t>0224532</t>
  </si>
  <si>
    <t>0254820</t>
  </si>
  <si>
    <t>На развитие МТБ муниципальных организаций дополнительного образования детей-ДЮСШ</t>
  </si>
  <si>
    <t>Подпрограмма "Развитие системы общего образования в Муниципальном образовании  Красноуфимский округ до 2020 года"</t>
  </si>
  <si>
    <t>Строительство и реконструкция зданий дошкольных образовательных организаций</t>
  </si>
  <si>
    <t>02145Б0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</si>
  <si>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</si>
  <si>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612</t>
  </si>
  <si>
    <t>Обеспечение мероприятий по укреплению и развитию материально-технической базы муниципальных образовательных организаций</t>
  </si>
  <si>
    <t>Подпрограмма «Развитие газификации МО Красноуфимский округ до 2020 года»</t>
  </si>
  <si>
    <t>Подпрограмма "Укрепление и развитие материально-технической базы образовательных учреждений в Муниципальном образовании красноуфимский округ"</t>
  </si>
  <si>
    <t>0254520</t>
  </si>
  <si>
    <t>Создание дополнительных мест в муниципальных системах дошкольного образования</t>
  </si>
  <si>
    <t>0254570</t>
  </si>
  <si>
    <t>Мероприятия по укреплени и развитию материально-технической базы муниципальных образовательных организаций</t>
  </si>
  <si>
    <t>0254580</t>
  </si>
  <si>
    <t>0254590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</si>
  <si>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</si>
  <si>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</si>
  <si>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</si>
  <si>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</si>
  <si>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</si>
  <si>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</si>
  <si>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>Подпрограмма" Развитие культуры и искусства в МО Красноуфимский округ до 2020 года"</t>
  </si>
  <si>
    <t>02145БО</t>
  </si>
  <si>
    <t>412</t>
  </si>
  <si>
    <t>Бюджетне инвестиции на приобретение объектов недвижимого имущества в госудасртвенную (муниципальную) собственность</t>
  </si>
  <si>
    <t>0224550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</si>
  <si>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образовательные учреждения</t>
  </si>
  <si>
    <t>Субсидии на осуществление капитальных вложений в объекты капиталного строительства муниципальной собственности автономным учреждениям</t>
  </si>
  <si>
    <t>Обеспечение бесплатного проезда  детей-сирот и детей, оставшихся без попечения родителей, обучающихся  в муниципальных образовательных оргнаизациях, на городском, пригородном, в сельской местности на внутрирайонном (кроме такси), а также бесплатного проезда один раз в год  к месту жительства и обратно к месту учебу</t>
  </si>
  <si>
    <t>630</t>
  </si>
  <si>
    <t>Субсидии некоммерческим организациям (за исключением государственных (муниципальных) учреждений)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</si>
  <si>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</si>
  <si>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</si>
  <si>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</si>
  <si>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</si>
  <si>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Сумма, в рублях</t>
  </si>
  <si>
    <t>0100</t>
  </si>
  <si>
    <t>0102</t>
  </si>
  <si>
    <t>0103</t>
  </si>
  <si>
    <t>0104</t>
  </si>
  <si>
    <t>0106</t>
  </si>
  <si>
    <t>0900000</t>
  </si>
  <si>
    <t>0920000</t>
  </si>
  <si>
    <t>0930000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</si>
  <si>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</si>
  <si>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</si>
  <si>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</si>
  <si>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</si>
  <si>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</si>
  <si>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</si>
  <si>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</si>
  <si>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</si>
  <si>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</si>
  <si>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</si>
  <si>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</si>
  <si>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</si>
  <si>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</si>
  <si>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</si>
  <si>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</si>
  <si>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</si>
  <si>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</si>
  <si>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901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</si>
  <si>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</si>
  <si>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</si>
  <si>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</si>
  <si>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</si>
  <si>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0412</t>
  </si>
  <si>
    <t>Транспорт</t>
  </si>
  <si>
    <t>0408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</si>
  <si>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</si>
  <si>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</si>
  <si>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</si>
  <si>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</si>
  <si>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</si>
  <si>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7950000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</si>
  <si>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</si>
  <si>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</si>
  <si>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</si>
  <si>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</si>
  <si>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</si>
  <si>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</si>
  <si>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</si>
  <si>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</si>
  <si>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Целевые программы муниципальных образований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</si>
  <si>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</si>
  <si>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</si>
  <si>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906</t>
  </si>
  <si>
    <t>Дошкольное образование</t>
  </si>
  <si>
    <t>0701</t>
  </si>
  <si>
    <t>Физическая культура и спорт</t>
  </si>
  <si>
    <t>1001</t>
  </si>
  <si>
    <t>Доплаты к пенсиям государственных служащих субъектов Российской Федерации и муниципальных служащих</t>
  </si>
  <si>
    <t xml:space="preserve">                                                                                     </t>
  </si>
  <si>
    <t>Общегосударственные вопросы</t>
  </si>
  <si>
    <t>Центральный аппарат</t>
  </si>
  <si>
    <t>Другие общегосударственные вопросы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</si>
  <si>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</si>
  <si>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</si>
  <si>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</si>
  <si>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</si>
  <si>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</si>
  <si>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</si>
  <si>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</si>
  <si>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</si>
  <si>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</si>
  <si>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</si>
  <si>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</si>
  <si>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</si>
  <si>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</si>
  <si>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</si>
  <si>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</si>
  <si>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от                  2008 г. №  </t>
  </si>
  <si>
    <t xml:space="preserve">                                                                                                               </t>
  </si>
  <si>
    <t xml:space="preserve">                                     </t>
  </si>
  <si>
    <t>912</t>
  </si>
  <si>
    <t>Всего расходов:</t>
  </si>
  <si>
    <t>Мероприятия по землеустройству и землепользованию</t>
  </si>
  <si>
    <t>913</t>
  </si>
  <si>
    <t>902</t>
  </si>
  <si>
    <t>МОУО Муниципального образования Красноуфимский округ</t>
  </si>
  <si>
    <t>Наименование главного распорядителя бюджетных средств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</si>
  <si>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</si>
  <si>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0700000</t>
  </si>
  <si>
    <t>0113</t>
  </si>
  <si>
    <t>0804</t>
  </si>
  <si>
    <t>1100</t>
  </si>
  <si>
    <t>Связь и информатика</t>
  </si>
  <si>
    <t>0410</t>
  </si>
  <si>
    <t>1300</t>
  </si>
  <si>
    <t>1301</t>
  </si>
  <si>
    <t>Исполнение судебных актов по искам к бюджету округа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</si>
  <si>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</si>
  <si>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</si>
  <si>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</si>
  <si>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</si>
  <si>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</si>
  <si>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</si>
  <si>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</si>
  <si>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</si>
  <si>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Отдел культуры и туризма администрации Муниципального образования Красноуфимский округ</t>
  </si>
  <si>
    <t>Другие вопросы в области социальной политики</t>
  </si>
  <si>
    <t>1006</t>
  </si>
  <si>
    <t>7950103</t>
  </si>
  <si>
    <t>Процентые платежи по  муниципальному долгу</t>
  </si>
  <si>
    <t>0200000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</si>
  <si>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</si>
  <si>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</si>
  <si>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Муниципальная программа "Народосбережение"</t>
  </si>
  <si>
    <t>Муниципальна программа "Развитие  культуры на территории  Муниципального образования Красноуфимский округ на 2012-2014гг"</t>
  </si>
  <si>
    <t>7951501</t>
  </si>
  <si>
    <t>Муниципальная программа "Развитие туризма на территории Муниципального образования Красноуфимский округ на 2011-2013гг"</t>
  </si>
  <si>
    <t>7951601</t>
  </si>
  <si>
    <t xml:space="preserve">Резервные фонды местных администраций </t>
  </si>
  <si>
    <t>111</t>
  </si>
  <si>
    <t>112</t>
  </si>
  <si>
    <t>242</t>
  </si>
  <si>
    <t>244</t>
  </si>
  <si>
    <t>852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</si>
  <si>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</si>
  <si>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</si>
  <si>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</si>
  <si>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</si>
  <si>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обязательных платежей</t>
  </si>
  <si>
    <t>243</t>
  </si>
  <si>
    <t>880</t>
  </si>
  <si>
    <t>Специальные расходы</t>
  </si>
  <si>
    <t>314</t>
  </si>
  <si>
    <t>611</t>
  </si>
  <si>
    <t>121</t>
  </si>
  <si>
    <t>Уплата прочих налогов, сборов и иных платежей</t>
  </si>
  <si>
    <t>312</t>
  </si>
  <si>
    <t>122</t>
  </si>
  <si>
    <t>Меры социальной поддержки населения по публичным нормативным обязательствам</t>
  </si>
  <si>
    <t>870</t>
  </si>
  <si>
    <t>831</t>
  </si>
  <si>
    <t>810</t>
  </si>
  <si>
    <t>730</t>
  </si>
  <si>
    <t>313</t>
  </si>
  <si>
    <t>Пособия и компенсации по публичным нормативным обязательствам</t>
  </si>
  <si>
    <t>сентябрь</t>
  </si>
  <si>
    <t>322</t>
  </si>
  <si>
    <t>Субсидии гражданам на приобретение жилья</t>
  </si>
  <si>
    <t>5250300</t>
  </si>
  <si>
    <t>5250500</t>
  </si>
  <si>
    <t>Прочая закупка товаров, работ и услуг для муниципальных нужд</t>
  </si>
  <si>
    <t>Закупка товаров, работ, услуг в целях капитального ремонта муниципального имущества</t>
  </si>
  <si>
    <t>411</t>
  </si>
  <si>
    <t xml:space="preserve">Прочая закупка товаров, работ и услуг для муниципальных нужд </t>
  </si>
  <si>
    <t>0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</si>
  <si>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</si>
  <si>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</si>
  <si>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</si>
  <si>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</si>
  <si>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</si>
  <si>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5260100</t>
  </si>
  <si>
    <t>300000</t>
  </si>
  <si>
    <t>853000</t>
  </si>
  <si>
    <t>12945700</t>
  </si>
  <si>
    <t>700000</t>
  </si>
  <si>
    <t>400000</t>
  </si>
  <si>
    <t>4269000</t>
  </si>
  <si>
    <t>919763</t>
  </si>
  <si>
    <t>50000</t>
  </si>
  <si>
    <t>525100</t>
  </si>
  <si>
    <t>654122</t>
  </si>
  <si>
    <t>1945</t>
  </si>
  <si>
    <t>26000</t>
  </si>
  <si>
    <t>27460</t>
  </si>
  <si>
    <t>603273</t>
  </si>
  <si>
    <t>3200</t>
  </si>
  <si>
    <t xml:space="preserve"> МЦП "Программа  мероприятий по профилактике терроризма и экстремизма, а также  минимизации и ликвидации  последствий проявлений терроризма  и экстремизма  на территории  Муниципального образования Красноуфимский округ на 2013 год"</t>
  </si>
  <si>
    <t>957000</t>
  </si>
  <si>
    <t>4937942</t>
  </si>
  <si>
    <t>550000</t>
  </si>
  <si>
    <t>600000</t>
  </si>
  <si>
    <t>58000</t>
  </si>
  <si>
    <t>30000</t>
  </si>
  <si>
    <t>4113000</t>
  </si>
  <si>
    <t>730000</t>
  </si>
  <si>
    <t>85000</t>
  </si>
  <si>
    <t>520000</t>
  </si>
  <si>
    <t>46060</t>
  </si>
  <si>
    <t>11416000</t>
  </si>
  <si>
    <t>7950901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</si>
  <si>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</si>
  <si>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</si>
  <si>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0602</t>
  </si>
  <si>
    <t>Ведомственная структура расходов бюджета МО Красноуфимский округ на 2014 год</t>
  </si>
  <si>
    <t>7001001</t>
  </si>
  <si>
    <t>7001003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</si>
  <si>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</si>
  <si>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0922302</t>
  </si>
  <si>
    <t>0922301</t>
  </si>
  <si>
    <t>Капитальный ремонт муниципального жилого фонда</t>
  </si>
  <si>
    <t>Формирование жилищного фонда для переселения граждан из жилых помещений, признанных непригодными для проживания</t>
  </si>
  <si>
    <t xml:space="preserve"> Подпрограмма "Повышение качества условий проживания населения МО Красноуфимский округ"</t>
  </si>
  <si>
    <t>Подпрограмма  «Комплексное развитие и модернизация системы коммунальной инфраструктуры МО Красноуфимский округ»</t>
  </si>
  <si>
    <t>Мероприятия по строительству плоскостных спортивных сооружений</t>
  </si>
  <si>
    <t>Субсидии автономным учреждениям на  иные цели</t>
  </si>
  <si>
    <t>0252505</t>
  </si>
  <si>
    <t>Бюджетные инвестиции в объекты жилищно-коммунального хозяйства</t>
  </si>
  <si>
    <t>0912301</t>
  </si>
  <si>
    <t>Разработка проектной документации на объекты строительства и реконструкции коммунальной инфраструктуры</t>
  </si>
  <si>
    <t>0912302</t>
  </si>
  <si>
    <t xml:space="preserve">Модернизация объектов коммунального  хозяйства </t>
  </si>
  <si>
    <t>0912303</t>
  </si>
  <si>
    <t>Строительство объектов коммунальной инфраструктуры</t>
  </si>
  <si>
    <t>0912304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</si>
  <si>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</si>
  <si>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</si>
  <si>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</si>
  <si>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</si>
  <si>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</si>
  <si>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0932304</t>
  </si>
  <si>
    <t>Экспертиза проектной документации</t>
  </si>
  <si>
    <t>Подпрограмма  «Комплексное благоустройство территории МО Красноуфимский округ»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</si>
  <si>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</si>
  <si>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</si>
  <si>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</si>
  <si>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</si>
  <si>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Реконструкция и капитальный ремонт дворовых территорий многоквартирных домов</t>
  </si>
  <si>
    <t>0942303</t>
  </si>
  <si>
    <t>Прочие мероприятия по благоустройству</t>
  </si>
  <si>
    <t>0942305</t>
  </si>
  <si>
    <t>0982302</t>
  </si>
  <si>
    <t>Подпрограмма   «Обеспечение реализации муниципальной программы»</t>
  </si>
  <si>
    <t>Содержание отдела ЕДДС</t>
  </si>
  <si>
    <t>0962304</t>
  </si>
  <si>
    <t>Компенсация недополученных доходов от услуг бани</t>
  </si>
  <si>
    <t>Субсидии юридическим лицам (кроме некоммерческих организаций), индивидуальным предпринимателям, физическим лицам</t>
  </si>
  <si>
    <t>0980000</t>
  </si>
  <si>
    <t>Содержание отдела ЖКХ</t>
  </si>
  <si>
    <t>0982301</t>
  </si>
  <si>
    <t>0910000</t>
  </si>
  <si>
    <t>0940000</t>
  </si>
  <si>
    <t>0960000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</si>
  <si>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</si>
  <si>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0964910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</si>
  <si>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</si>
  <si>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0964920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</si>
  <si>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</si>
  <si>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</si>
  <si>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</si>
  <si>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</si>
  <si>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0984910</t>
  </si>
  <si>
    <t>Содержание отдела субсидий</t>
  </si>
  <si>
    <t>Развитие газификации в сельской местности  за счет средств областного бюджета</t>
  </si>
  <si>
    <t xml:space="preserve">Реализация мероприятий федеральной целевой программы "Устойчивое развитие  сельских территорий на 2014-2017 годы и на период до 2020г" </t>
  </si>
  <si>
    <t>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собственность, за счет средств областного бюджета</t>
  </si>
  <si>
    <t>Содержание отдела компенсаций</t>
  </si>
  <si>
    <t>0984920</t>
  </si>
  <si>
    <t>1100000</t>
  </si>
  <si>
    <t>1110000</t>
  </si>
  <si>
    <t>1112302</t>
  </si>
  <si>
    <t xml:space="preserve"> Проектно-изыскательские работы и экспертиза на распределительные газопроводы</t>
  </si>
  <si>
    <t>Бюджетные инвестиции в объекты муниципальной собственности казенным учреждениям</t>
  </si>
  <si>
    <t>1112303</t>
  </si>
  <si>
    <t>11142И0</t>
  </si>
  <si>
    <t>1115018</t>
  </si>
  <si>
    <t xml:space="preserve"> Строительство распределительных газопроводов</t>
  </si>
  <si>
    <t>Программа "Обеспечение безопасности на территории МО Красноуфимский округ"</t>
  </si>
  <si>
    <t>Подпрограмма "Обеспечение безопасности на опасных объектах МО Красноуфимский округ"</t>
  </si>
  <si>
    <t>0750000</t>
  </si>
  <si>
    <t>Страхование гидротехнических сооружений и газопроводов</t>
  </si>
  <si>
    <t>Комплексная профилактика правонарушений на территории Муниципального образования Красноуфимский округ</t>
  </si>
  <si>
    <t>0732201</t>
  </si>
  <si>
    <t>0730000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</si>
  <si>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</si>
  <si>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«Комплексная профилактика правонарушений на территории МО Красноуфимский округ»</t>
  </si>
  <si>
    <t>Подпрограмма «Защита населения и территории МО Красноуфимский округ от чрезвычайных ситуаций природного и техногенного характера, гражданская оборона»</t>
  </si>
  <si>
    <t>0710000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</si>
  <si>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</si>
  <si>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0712201</t>
  </si>
  <si>
    <t>Подпрограмма «Обеспечение пожарной безопасности на территории МО Красноуфимский округ»</t>
  </si>
  <si>
    <t>0720000</t>
  </si>
  <si>
    <t>Обеспечение первичных мер пожарной безопасности</t>
  </si>
  <si>
    <t>0722201</t>
  </si>
  <si>
    <t>Восстановление пожарного водоснабжения на территории Муниципального образования Красноуфимский округ</t>
  </si>
  <si>
    <t>0722202</t>
  </si>
  <si>
    <t>Другие вопросы в области национальной безопасности</t>
  </si>
  <si>
    <t>0314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</si>
  <si>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</si>
  <si>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>0740000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</si>
  <si>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</si>
  <si>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0742201</t>
  </si>
  <si>
    <t>0760000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</si>
  <si>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</si>
  <si>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</si>
  <si>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0762202</t>
  </si>
  <si>
    <t>Подпрограммы «Обеспечение безопасности на опасных объектах МО Красноуфимский округ»</t>
  </si>
  <si>
    <t>0752201</t>
  </si>
  <si>
    <t>Охрана окружающей среды в МО Красноуфимский округ</t>
  </si>
  <si>
    <t>0762201</t>
  </si>
  <si>
    <t>0600000</t>
  </si>
  <si>
    <t>-200380,51</t>
  </si>
  <si>
    <t>7500,00</t>
  </si>
  <si>
    <t>Иные выплаты персоналу казенных учреждений, за исключением  фонда оплаты труда</t>
  </si>
  <si>
    <t>0324660</t>
  </si>
  <si>
    <t>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</si>
  <si>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</si>
  <si>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</si>
  <si>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Проведение отдельных мероприятий в области автомобильного транспорта</t>
  </si>
  <si>
    <t>0972302</t>
  </si>
  <si>
    <t>0970000</t>
  </si>
  <si>
    <t>0950000</t>
  </si>
  <si>
    <t>0952402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</si>
  <si>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</si>
  <si>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</si>
  <si>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0952403</t>
  </si>
  <si>
    <t>Мероприятия по повышению безопасности дорожного движения на территории МО Красноуфимский округ</t>
  </si>
  <si>
    <t>0952406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</si>
  <si>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</si>
  <si>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0400000</t>
  </si>
  <si>
    <t>Разработка документации по планировке территории МО Красноуфимский округ</t>
  </si>
  <si>
    <t>0402301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</si>
</sst>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_р_."/>
  </numFmts>
  <fonts count="44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justify" vertical="top"/>
    </xf>
    <xf numFmtId="49" fontId="0" fillId="33" borderId="10" xfId="56" applyNumberFormat="1" applyFont="1" applyFill="1" applyBorder="1" applyAlignment="1">
      <alignment horizontal="left" vertical="top" wrapText="1"/>
      <protection/>
    </xf>
    <xf numFmtId="0" fontId="0" fillId="33" borderId="10" xfId="56" applyFont="1" applyFill="1" applyBorder="1" applyAlignment="1">
      <alignment horizontal="left" vertical="top" wrapText="1"/>
      <protection/>
    </xf>
    <xf numFmtId="0" fontId="4" fillId="33" borderId="12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justify"/>
    </xf>
    <xf numFmtId="49" fontId="0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wrapText="1"/>
    </xf>
    <xf numFmtId="0" fontId="0" fillId="33" borderId="13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wrapText="1"/>
    </xf>
    <xf numFmtId="49" fontId="0" fillId="33" borderId="10" xfId="56" applyNumberFormat="1" applyFont="1" applyFill="1" applyBorder="1" applyAlignment="1">
      <alignment vertical="top" wrapText="1"/>
      <protection/>
    </xf>
    <xf numFmtId="0" fontId="0" fillId="33" borderId="0" xfId="0" applyFont="1" applyFill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10" xfId="0" applyNumberFormat="1" applyFont="1" applyFill="1" applyBorder="1" applyAlignment="1">
      <alignment horizontal="justify" wrapText="1"/>
    </xf>
    <xf numFmtId="0" fontId="0" fillId="33" borderId="10" xfId="0" applyNumberFormat="1" applyFont="1" applyFill="1" applyBorder="1" applyAlignment="1">
      <alignment horizontal="justify" vertical="top" wrapText="1"/>
    </xf>
    <xf numFmtId="0" fontId="0" fillId="33" borderId="10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top" wrapText="1"/>
    </xf>
    <xf numFmtId="49" fontId="7" fillId="34" borderId="10" xfId="53" applyNumberFormat="1" applyFont="1" applyFill="1" applyBorder="1" applyAlignment="1">
      <alignment vertical="top" wrapText="1"/>
      <protection/>
    </xf>
    <xf numFmtId="49" fontId="0" fillId="34" borderId="10" xfId="54" applyNumberFormat="1" applyFont="1" applyFill="1" applyBorder="1" applyAlignment="1">
      <alignment vertical="top" wrapText="1"/>
      <protection/>
    </xf>
    <xf numFmtId="0" fontId="0" fillId="33" borderId="10" xfId="56" applyNumberFormat="1" applyFont="1" applyFill="1" applyBorder="1" applyAlignment="1">
      <alignment vertical="top" wrapText="1"/>
      <protection/>
    </xf>
    <xf numFmtId="0" fontId="7" fillId="33" borderId="10" xfId="0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left" vertical="top"/>
    </xf>
    <xf numFmtId="0" fontId="0" fillId="33" borderId="16" xfId="0" applyFont="1" applyFill="1" applyBorder="1" applyAlignment="1">
      <alignment wrapText="1"/>
    </xf>
    <xf numFmtId="0" fontId="4" fillId="33" borderId="12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left" vertical="distributed" wrapText="1"/>
    </xf>
    <xf numFmtId="0" fontId="10" fillId="0" borderId="0" xfId="0" applyFont="1" applyAlignment="1">
      <alignment/>
    </xf>
    <xf numFmtId="49" fontId="0" fillId="34" borderId="10" xfId="53" applyNumberFormat="1" applyFont="1" applyFill="1" applyBorder="1" applyAlignment="1">
      <alignment vertical="top" wrapText="1"/>
      <protection/>
    </xf>
    <xf numFmtId="4" fontId="0" fillId="33" borderId="1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4" fontId="4" fillId="33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49" fontId="7" fillId="34" borderId="10" xfId="55" applyNumberFormat="1" applyFont="1" applyFill="1" applyBorder="1" applyAlignment="1">
      <alignment vertical="top" wrapText="1"/>
      <protection/>
    </xf>
    <xf numFmtId="0" fontId="0" fillId="0" borderId="18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0" fillId="33" borderId="10" xfId="56" applyNumberFormat="1" applyFont="1" applyFill="1" applyBorder="1" applyAlignment="1">
      <alignment horizontal="right" vertical="top"/>
      <protection/>
    </xf>
    <xf numFmtId="0" fontId="0" fillId="33" borderId="10" xfId="56" applyFont="1" applyFill="1" applyBorder="1" applyAlignment="1">
      <alignment horizontal="right" vertical="top"/>
      <protection/>
    </xf>
    <xf numFmtId="0" fontId="0" fillId="33" borderId="10" xfId="0" applyFont="1" applyFill="1" applyBorder="1" applyAlignment="1">
      <alignment horizontal="right" vertical="top"/>
    </xf>
    <xf numFmtId="49" fontId="0" fillId="33" borderId="10" xfId="0" applyNumberFormat="1" applyFont="1" applyFill="1" applyBorder="1" applyAlignment="1">
      <alignment horizontal="right" vertical="top"/>
    </xf>
    <xf numFmtId="49" fontId="0" fillId="33" borderId="10" xfId="56" applyNumberFormat="1" applyFont="1" applyFill="1" applyBorder="1" applyAlignment="1">
      <alignment horizontal="right" vertical="top" wrapText="1"/>
      <protection/>
    </xf>
    <xf numFmtId="2" fontId="0" fillId="33" borderId="10" xfId="0" applyNumberFormat="1" applyFont="1" applyFill="1" applyBorder="1" applyAlignment="1">
      <alignment horizontal="right" vertical="top" wrapText="1"/>
    </xf>
    <xf numFmtId="49" fontId="0" fillId="33" borderId="15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0" fillId="0" borderId="0" xfId="0" applyNumberFormat="1" applyFont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49" fontId="7" fillId="33" borderId="10" xfId="0" applyNumberFormat="1" applyFont="1" applyFill="1" applyBorder="1" applyAlignment="1">
      <alignment horizontal="right" vertical="top"/>
    </xf>
    <xf numFmtId="49" fontId="0" fillId="33" borderId="0" xfId="0" applyNumberFormat="1" applyFont="1" applyFill="1" applyAlignment="1">
      <alignment horizontal="right" vertical="top"/>
    </xf>
    <xf numFmtId="0" fontId="0" fillId="33" borderId="0" xfId="0" applyFont="1" applyFill="1" applyAlignment="1">
      <alignment horizontal="right" vertical="top"/>
    </xf>
    <xf numFmtId="2" fontId="0" fillId="33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" fontId="4" fillId="33" borderId="10" xfId="56" applyNumberFormat="1" applyFont="1" applyFill="1" applyBorder="1" applyAlignment="1">
      <alignment horizontal="right" vertical="top"/>
      <protection/>
    </xf>
    <xf numFmtId="4" fontId="0" fillId="33" borderId="10" xfId="0" applyNumberFormat="1" applyFont="1" applyFill="1" applyBorder="1" applyAlignment="1">
      <alignment horizontal="right" vertical="top"/>
    </xf>
    <xf numFmtId="49" fontId="0" fillId="33" borderId="17" xfId="0" applyNumberFormat="1" applyFont="1" applyFill="1" applyBorder="1" applyAlignment="1">
      <alignment horizontal="right" vertical="top" wrapText="1"/>
    </xf>
    <xf numFmtId="4" fontId="0" fillId="33" borderId="10" xfId="0" applyNumberFormat="1" applyFont="1" applyFill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 wrapText="1"/>
    </xf>
    <xf numFmtId="4" fontId="0" fillId="33" borderId="10" xfId="56" applyNumberFormat="1" applyFont="1" applyFill="1" applyBorder="1" applyAlignment="1">
      <alignment horizontal="right" vertical="top" wrapText="1"/>
      <protection/>
    </xf>
    <xf numFmtId="0" fontId="0" fillId="33" borderId="10" xfId="0" applyFill="1" applyBorder="1" applyAlignment="1">
      <alignment horizontal="right" vertical="top"/>
    </xf>
    <xf numFmtId="49" fontId="0" fillId="0" borderId="10" xfId="56" applyNumberFormat="1" applyFont="1" applyFill="1" applyBorder="1" applyAlignment="1">
      <alignment horizontal="right" vertical="top" wrapText="1"/>
      <protection/>
    </xf>
    <xf numFmtId="49" fontId="0" fillId="33" borderId="12" xfId="0" applyNumberFormat="1" applyFont="1" applyFill="1" applyBorder="1" applyAlignment="1">
      <alignment horizontal="right" vertical="top" wrapText="1"/>
    </xf>
    <xf numFmtId="49" fontId="4" fillId="33" borderId="12" xfId="0" applyNumberFormat="1" applyFont="1" applyFill="1" applyBorder="1" applyAlignment="1">
      <alignment horizontal="right" vertical="top" wrapText="1"/>
    </xf>
    <xf numFmtId="4" fontId="4" fillId="33" borderId="12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right" vertical="top"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2" fontId="0" fillId="0" borderId="10" xfId="56" applyNumberFormat="1" applyFont="1" applyBorder="1" applyAlignment="1">
      <alignment horizontal="right" vertical="top"/>
      <protection/>
    </xf>
    <xf numFmtId="4" fontId="0" fillId="0" borderId="10" xfId="56" applyNumberFormat="1" applyFont="1" applyBorder="1" applyAlignment="1">
      <alignment horizontal="right" vertical="top"/>
      <protection/>
    </xf>
    <xf numFmtId="0" fontId="0" fillId="0" borderId="10" xfId="56" applyFont="1" applyBorder="1" applyAlignment="1">
      <alignment horizontal="right" vertical="top"/>
      <protection/>
    </xf>
    <xf numFmtId="4" fontId="0" fillId="0" borderId="15" xfId="56" applyNumberFormat="1" applyFont="1" applyBorder="1" applyAlignment="1">
      <alignment horizontal="right" vertical="top"/>
      <protection/>
    </xf>
    <xf numFmtId="0" fontId="0" fillId="0" borderId="10" xfId="56" applyFont="1" applyBorder="1">
      <alignment/>
      <protection/>
    </xf>
    <xf numFmtId="0" fontId="0" fillId="0" borderId="10" xfId="56" applyFont="1" applyFill="1" applyBorder="1">
      <alignment/>
      <protection/>
    </xf>
    <xf numFmtId="49" fontId="0" fillId="35" borderId="10" xfId="53" applyNumberFormat="1" applyFont="1" applyFill="1" applyBorder="1" applyAlignment="1">
      <alignment horizontal="left" vertical="top" wrapText="1"/>
      <protection/>
    </xf>
    <xf numFmtId="0" fontId="8" fillId="33" borderId="10" xfId="0" applyFont="1" applyFill="1" applyBorder="1" applyAlignment="1">
      <alignment horizontal="right" vertical="top"/>
    </xf>
    <xf numFmtId="4" fontId="0" fillId="36" borderId="10" xfId="0" applyNumberFormat="1" applyFont="1" applyFill="1" applyBorder="1" applyAlignment="1">
      <alignment horizontal="right" vertical="top"/>
    </xf>
    <xf numFmtId="2" fontId="0" fillId="36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/>
    </xf>
    <xf numFmtId="49" fontId="0" fillId="33" borderId="11" xfId="0" applyNumberFormat="1" applyFont="1" applyFill="1" applyBorder="1" applyAlignment="1">
      <alignment horizontal="right" vertical="top" wrapText="1"/>
    </xf>
    <xf numFmtId="0" fontId="0" fillId="0" borderId="10" xfId="56" applyBorder="1">
      <alignment/>
      <protection/>
    </xf>
    <xf numFmtId="0" fontId="7" fillId="33" borderId="10" xfId="0" applyFont="1" applyFill="1" applyBorder="1" applyAlignment="1">
      <alignment horizontal="left" vertical="top" wrapText="1"/>
    </xf>
    <xf numFmtId="49" fontId="0" fillId="36" borderId="10" xfId="0" applyNumberFormat="1" applyFont="1" applyFill="1" applyBorder="1" applyAlignment="1">
      <alignment horizontal="right" vertical="top" wrapText="1"/>
    </xf>
    <xf numFmtId="4" fontId="0" fillId="33" borderId="15" xfId="0" applyNumberFormat="1" applyFont="1" applyFill="1" applyBorder="1" applyAlignment="1">
      <alignment horizontal="right" vertical="top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3" xfId="62"/>
    <cellStyle name="Примечание 4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8"/>
  <sheetViews>
    <sheetView tabSelected="1" zoomScale="85" zoomScaleNormal="85" zoomScalePageLayoutView="0" workbookViewId="0" topLeftCell="A216">
      <selection activeCell="U222" sqref="U222"/>
    </sheetView>
  </sheetViews>
  <sheetFormatPr defaultColWidth="9.00390625" defaultRowHeight="15.75" outlineLevelRow="1"/>
  <cols>
    <col min="1" max="1" width="36.50390625" style="0" customWidth="1"/>
    <col min="2" max="2" width="7.25390625" style="0" customWidth="1"/>
    <col min="3" max="3" width="8.75390625" style="0" customWidth="1"/>
    <col min="4" max="4" width="11.25390625" style="0" customWidth="1"/>
    <col min="5" max="5" width="9.00390625" style="0" customWidth="1"/>
    <col min="6" max="6" width="15.875" style="7" hidden="1" customWidth="1"/>
    <col min="7" max="7" width="20.50390625" style="0" hidden="1" customWidth="1"/>
    <col min="8" max="8" width="15.00390625" style="7" hidden="1" customWidth="1"/>
    <col min="9" max="9" width="12.125" style="0" hidden="1" customWidth="1"/>
    <col min="10" max="10" width="16.375" style="0" hidden="1" customWidth="1"/>
    <col min="11" max="11" width="12.375" style="0" hidden="1" customWidth="1"/>
    <col min="12" max="12" width="0.12890625" style="0" hidden="1" customWidth="1"/>
    <col min="13" max="13" width="9.875" style="0" hidden="1" customWidth="1"/>
    <col min="14" max="14" width="16.625" style="0" hidden="1" customWidth="1"/>
    <col min="15" max="15" width="6.50390625" style="0" hidden="1" customWidth="1"/>
    <col min="16" max="16" width="16.00390625" style="0" hidden="1" customWidth="1"/>
    <col min="17" max="17" width="10.50390625" style="0" hidden="1" customWidth="1"/>
    <col min="18" max="18" width="0.12890625" style="0" customWidth="1"/>
    <col min="19" max="19" width="13.25390625" style="0" hidden="1" customWidth="1"/>
    <col min="20" max="20" width="16.875" style="0" customWidth="1"/>
  </cols>
  <sheetData>
    <row r="1" spans="1:7" ht="3.75" customHeight="1" hidden="1">
      <c r="A1" s="1"/>
      <c r="B1" s="2"/>
      <c r="C1" s="2"/>
      <c r="D1" s="2"/>
      <c r="E1" s="2"/>
      <c r="G1" s="2"/>
    </row>
    <row r="2" spans="1:8" ht="17.25" customHeight="1" hidden="1">
      <c r="A2" s="4" t="s">
        <v>419</v>
      </c>
      <c r="B2" s="2"/>
      <c r="C2" s="2"/>
      <c r="D2" s="130"/>
      <c r="E2" s="131"/>
      <c r="F2"/>
      <c r="H2"/>
    </row>
    <row r="3" spans="1:8" ht="18.75" hidden="1">
      <c r="A3" s="4"/>
      <c r="B3" s="5" t="s">
        <v>420</v>
      </c>
      <c r="C3" s="5"/>
      <c r="D3" s="131"/>
      <c r="E3" s="131"/>
      <c r="F3"/>
      <c r="H3"/>
    </row>
    <row r="4" spans="1:8" ht="39.75" customHeight="1" hidden="1">
      <c r="A4" s="4"/>
      <c r="B4" s="5"/>
      <c r="C4" s="5"/>
      <c r="D4" s="131"/>
      <c r="E4" s="131"/>
      <c r="F4"/>
      <c r="H4"/>
    </row>
    <row r="5" spans="1:8" ht="18.75" customHeight="1" hidden="1">
      <c r="A5" s="4"/>
      <c r="B5" s="5"/>
      <c r="C5" s="5"/>
      <c r="D5" s="131"/>
      <c r="E5" s="131"/>
      <c r="F5"/>
      <c r="H5"/>
    </row>
    <row r="6" spans="1:20" ht="165.75" customHeight="1">
      <c r="A6" s="4" t="s">
        <v>399</v>
      </c>
      <c r="B6" s="6" t="s">
        <v>418</v>
      </c>
      <c r="C6" s="133" t="s">
        <v>90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</row>
    <row r="7" spans="1:18" ht="37.5" customHeight="1">
      <c r="A7" s="132" t="s">
        <v>534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</row>
    <row r="8" spans="1:18" ht="15.75" customHeight="1" hidden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</row>
    <row r="9" spans="1:18" ht="28.5" customHeight="1" hidden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7" ht="24.75" customHeight="1">
      <c r="A10" s="4"/>
      <c r="B10" s="3"/>
      <c r="C10" s="3"/>
      <c r="D10" s="3"/>
      <c r="E10" s="3"/>
      <c r="G10" s="3"/>
    </row>
    <row r="11" spans="1:20" ht="66" customHeight="1">
      <c r="A11" s="9" t="s">
        <v>427</v>
      </c>
      <c r="B11" s="9" t="s">
        <v>338</v>
      </c>
      <c r="C11" s="9" t="s">
        <v>339</v>
      </c>
      <c r="D11" s="9" t="s">
        <v>340</v>
      </c>
      <c r="E11" s="9" t="s">
        <v>341</v>
      </c>
      <c r="F11" s="10" t="s">
        <v>342</v>
      </c>
      <c r="G11" s="9"/>
      <c r="H11" s="10" t="s">
        <v>342</v>
      </c>
      <c r="I11" s="50"/>
      <c r="J11" s="65" t="s">
        <v>342</v>
      </c>
      <c r="K11" s="50" t="s">
        <v>299</v>
      </c>
      <c r="L11" s="65" t="s">
        <v>342</v>
      </c>
      <c r="M11" s="50" t="s">
        <v>15</v>
      </c>
      <c r="N11" s="65" t="s">
        <v>342</v>
      </c>
      <c r="O11" s="50"/>
      <c r="P11" s="65" t="s">
        <v>342</v>
      </c>
      <c r="Q11" s="107" t="s">
        <v>143</v>
      </c>
      <c r="R11" s="65" t="s">
        <v>342</v>
      </c>
      <c r="S11" s="50" t="s">
        <v>486</v>
      </c>
      <c r="T11" s="65" t="s">
        <v>342</v>
      </c>
    </row>
    <row r="12" spans="1:20" ht="30" customHeight="1">
      <c r="A12" s="11" t="s">
        <v>443</v>
      </c>
      <c r="B12" s="72">
        <v>901</v>
      </c>
      <c r="C12" s="73"/>
      <c r="D12" s="73"/>
      <c r="E12" s="73"/>
      <c r="F12" s="74" t="e">
        <f>F13+F85+F94+F126++F175+F245+F256+F277+F332</f>
        <v>#REF!</v>
      </c>
      <c r="G12" s="73"/>
      <c r="H12" s="74">
        <f>H13+H85+H94+H126++H175+H245+H256+H277+H332</f>
        <v>198575800</v>
      </c>
      <c r="I12" s="75"/>
      <c r="J12" s="74">
        <f>J13+J85+J94+J126++J175+J245+J256+J277+J332</f>
        <v>206686852.56</v>
      </c>
      <c r="K12" s="75"/>
      <c r="L12" s="74">
        <f>L13+L85+L94+L126++L175+L245+L256+L277+L332</f>
        <v>237865621.56</v>
      </c>
      <c r="M12" s="75"/>
      <c r="N12" s="74">
        <f>N13+N85+N94+N126++N175+N245+N256+N277+N332</f>
        <v>237865621.56</v>
      </c>
      <c r="O12" s="75"/>
      <c r="P12" s="74">
        <f>P13+P85+P94+P126++P175+P245+P256+P277+P332</f>
        <v>268227269.35999998</v>
      </c>
      <c r="Q12" s="50"/>
      <c r="R12" s="74">
        <f>R13+R85+R94+R126++R175+R245+R256+R277+R332</f>
        <v>274124369.36</v>
      </c>
      <c r="S12" s="50"/>
      <c r="T12" s="74">
        <f>T13+T85+T94+T126++T175+T245+T256+T277+T332</f>
        <v>272035842.35999995</v>
      </c>
    </row>
    <row r="13" spans="1:20" ht="18" customHeight="1">
      <c r="A13" s="12" t="s">
        <v>400</v>
      </c>
      <c r="B13" s="73">
        <v>901</v>
      </c>
      <c r="C13" s="73" t="s">
        <v>343</v>
      </c>
      <c r="D13" s="73"/>
      <c r="E13" s="73"/>
      <c r="F13" s="57" t="e">
        <f>F14+#REF!+F48+F45</f>
        <v>#REF!</v>
      </c>
      <c r="G13" s="73"/>
      <c r="H13" s="57">
        <f>H14+H48+H45</f>
        <v>51065600</v>
      </c>
      <c r="I13" s="75"/>
      <c r="J13" s="57">
        <f>J14+J48+J45</f>
        <v>51075700</v>
      </c>
      <c r="K13" s="76"/>
      <c r="L13" s="57">
        <f>L14+L48+L45</f>
        <v>50985700</v>
      </c>
      <c r="M13" s="75"/>
      <c r="N13" s="57">
        <f>N14+N48+N45</f>
        <v>51145700</v>
      </c>
      <c r="O13" s="75"/>
      <c r="P13" s="57">
        <f>P14+P48+P45</f>
        <v>51356633</v>
      </c>
      <c r="Q13" s="108"/>
      <c r="R13" s="57">
        <f>R14+R48+R45</f>
        <v>51647833</v>
      </c>
      <c r="S13" s="50"/>
      <c r="T13" s="57">
        <f>T14+T48+T45</f>
        <v>51626476.83</v>
      </c>
    </row>
    <row r="14" spans="1:20" ht="81" customHeight="1">
      <c r="A14" s="14" t="s">
        <v>105</v>
      </c>
      <c r="B14" s="73" t="s">
        <v>368</v>
      </c>
      <c r="C14" s="73" t="s">
        <v>346</v>
      </c>
      <c r="D14" s="73" t="s">
        <v>106</v>
      </c>
      <c r="E14" s="73"/>
      <c r="F14" s="57" t="e">
        <f>#REF!+#REF!+#REF!</f>
        <v>#REF!</v>
      </c>
      <c r="G14" s="73"/>
      <c r="H14" s="57">
        <f>H15+H41</f>
        <v>35231000</v>
      </c>
      <c r="I14" s="77"/>
      <c r="J14" s="57">
        <f>J15+J41</f>
        <v>35231000</v>
      </c>
      <c r="K14" s="77"/>
      <c r="L14" s="57">
        <f>L15+L41</f>
        <v>35231000</v>
      </c>
      <c r="M14" s="77"/>
      <c r="N14" s="57">
        <f>N15+N41</f>
        <v>35231000</v>
      </c>
      <c r="O14" s="77"/>
      <c r="P14" s="57">
        <f>P15+P41</f>
        <v>31047821.54</v>
      </c>
      <c r="Q14" s="50"/>
      <c r="R14" s="57">
        <f>R15+R41</f>
        <v>31123508.7</v>
      </c>
      <c r="S14" s="50"/>
      <c r="T14" s="57">
        <f>T15+T41</f>
        <v>31064481.04</v>
      </c>
    </row>
    <row r="15" spans="1:20" ht="81" customHeight="1">
      <c r="A15" s="14" t="s">
        <v>107</v>
      </c>
      <c r="B15" s="73" t="s">
        <v>368</v>
      </c>
      <c r="C15" s="73" t="s">
        <v>346</v>
      </c>
      <c r="D15" s="73" t="s">
        <v>108</v>
      </c>
      <c r="E15" s="73"/>
      <c r="F15" s="57" t="e">
        <f>F17+F18+F19+F20+F21+F22+#REF!+F23</f>
        <v>#REF!</v>
      </c>
      <c r="G15" s="73"/>
      <c r="H15" s="57">
        <f>H16+H31+H28</f>
        <v>35218500</v>
      </c>
      <c r="I15" s="77"/>
      <c r="J15" s="57">
        <f>J16+J31+J28+J25+J38</f>
        <v>35231000</v>
      </c>
      <c r="K15" s="78"/>
      <c r="L15" s="57">
        <f>L16+L31+L28+L25+L38</f>
        <v>35218500</v>
      </c>
      <c r="M15" s="77"/>
      <c r="N15" s="57">
        <f>N16+N31+N28+N25+N38</f>
        <v>35218500</v>
      </c>
      <c r="O15" s="77"/>
      <c r="P15" s="57">
        <f>P16+P31+P28+P25+P38</f>
        <v>31035321.54</v>
      </c>
      <c r="Q15" s="50"/>
      <c r="R15" s="57">
        <f>R16+R31+R28+R25+R38</f>
        <v>31111008.7</v>
      </c>
      <c r="S15" s="50"/>
      <c r="T15" s="57">
        <f>T16+T31+T28+T25+T38</f>
        <v>31051981.04</v>
      </c>
    </row>
    <row r="16" spans="1:20" ht="54" customHeight="1">
      <c r="A16" s="15" t="s">
        <v>109</v>
      </c>
      <c r="B16" s="73" t="s">
        <v>368</v>
      </c>
      <c r="C16" s="73" t="s">
        <v>346</v>
      </c>
      <c r="D16" s="73" t="s">
        <v>104</v>
      </c>
      <c r="E16" s="73"/>
      <c r="F16" s="57"/>
      <c r="G16" s="73"/>
      <c r="H16" s="57">
        <f>H17+H18+H19+H20+H21+H22+H23</f>
        <v>14049980</v>
      </c>
      <c r="I16" s="77"/>
      <c r="J16" s="57">
        <f>J17+J18+J19+J20+J21+J22+J23</f>
        <v>11178938</v>
      </c>
      <c r="K16" s="77"/>
      <c r="L16" s="57">
        <f>L17+L18+L19+L20+L21+L22+L23</f>
        <v>11287204</v>
      </c>
      <c r="M16" s="77"/>
      <c r="N16" s="57">
        <f>N17+N18+N19+N20+N21+N22+N23</f>
        <v>11287204</v>
      </c>
      <c r="O16" s="77"/>
      <c r="P16" s="57">
        <f>P17+P18+P19+P20+P21+P22+P23</f>
        <v>10927675</v>
      </c>
      <c r="Q16" s="50"/>
      <c r="R16" s="57">
        <f>R17+R18+R19+R20+R21+R22+R23+R24</f>
        <v>10948389.15</v>
      </c>
      <c r="S16" s="50"/>
      <c r="T16" s="57">
        <f>T17+T18+T19+T20+T21+T22+T23+T24</f>
        <v>10950109.15</v>
      </c>
    </row>
    <row r="17" spans="1:20" ht="22.5" customHeight="1">
      <c r="A17" s="12" t="s">
        <v>465</v>
      </c>
      <c r="B17" s="73" t="s">
        <v>368</v>
      </c>
      <c r="C17" s="73" t="s">
        <v>346</v>
      </c>
      <c r="D17" s="73" t="s">
        <v>104</v>
      </c>
      <c r="E17" s="73" t="s">
        <v>460</v>
      </c>
      <c r="F17" s="79">
        <v>0</v>
      </c>
      <c r="G17" s="80">
        <v>2233793</v>
      </c>
      <c r="H17" s="79">
        <v>2848840</v>
      </c>
      <c r="I17" s="81">
        <v>-2848840</v>
      </c>
      <c r="J17" s="78">
        <f aca="true" t="shared" si="0" ref="J17:J23">H17+I17</f>
        <v>0</v>
      </c>
      <c r="K17" s="77"/>
      <c r="L17" s="78">
        <f aca="true" t="shared" si="1" ref="L17:L23">J17+K17</f>
        <v>0</v>
      </c>
      <c r="M17" s="77"/>
      <c r="N17" s="78">
        <f aca="true" t="shared" si="2" ref="N17:N23">L17+M17</f>
        <v>0</v>
      </c>
      <c r="O17" s="77"/>
      <c r="P17" s="78">
        <f aca="true" t="shared" si="3" ref="P17:T24">N17+O17</f>
        <v>0</v>
      </c>
      <c r="Q17" s="50"/>
      <c r="R17" s="78">
        <f t="shared" si="3"/>
        <v>0</v>
      </c>
      <c r="S17" s="50"/>
      <c r="T17" s="78">
        <f t="shared" si="3"/>
        <v>0</v>
      </c>
    </row>
    <row r="18" spans="1:20" ht="33" customHeight="1">
      <c r="A18" s="14" t="s">
        <v>466</v>
      </c>
      <c r="B18" s="73" t="s">
        <v>368</v>
      </c>
      <c r="C18" s="73" t="s">
        <v>346</v>
      </c>
      <c r="D18" s="73" t="s">
        <v>104</v>
      </c>
      <c r="E18" s="73" t="s">
        <v>461</v>
      </c>
      <c r="F18" s="79">
        <v>0</v>
      </c>
      <c r="G18" s="80">
        <v>1450</v>
      </c>
      <c r="H18" s="79">
        <v>633</v>
      </c>
      <c r="I18" s="81">
        <v>-633</v>
      </c>
      <c r="J18" s="78">
        <f t="shared" si="0"/>
        <v>0</v>
      </c>
      <c r="K18" s="77"/>
      <c r="L18" s="78">
        <f t="shared" si="1"/>
        <v>0</v>
      </c>
      <c r="M18" s="77"/>
      <c r="N18" s="78">
        <f t="shared" si="2"/>
        <v>0</v>
      </c>
      <c r="O18" s="77"/>
      <c r="P18" s="78">
        <f t="shared" si="3"/>
        <v>0</v>
      </c>
      <c r="Q18" s="50"/>
      <c r="R18" s="78">
        <f t="shared" si="3"/>
        <v>0</v>
      </c>
      <c r="S18" s="50"/>
      <c r="T18" s="78">
        <f t="shared" si="3"/>
        <v>0</v>
      </c>
    </row>
    <row r="19" spans="1:20" ht="23.25" customHeight="1">
      <c r="A19" s="14" t="s">
        <v>465</v>
      </c>
      <c r="B19" s="73" t="s">
        <v>368</v>
      </c>
      <c r="C19" s="73" t="s">
        <v>346</v>
      </c>
      <c r="D19" s="73" t="s">
        <v>104</v>
      </c>
      <c r="E19" s="73" t="s">
        <v>475</v>
      </c>
      <c r="F19" s="79">
        <v>0</v>
      </c>
      <c r="G19" s="80">
        <v>9071385</v>
      </c>
      <c r="H19" s="79">
        <v>8976035</v>
      </c>
      <c r="I19" s="77">
        <f>-34069-17107</f>
        <v>-51176</v>
      </c>
      <c r="J19" s="78">
        <f t="shared" si="0"/>
        <v>8924859</v>
      </c>
      <c r="K19" s="77"/>
      <c r="L19" s="78">
        <f t="shared" si="1"/>
        <v>8924859</v>
      </c>
      <c r="M19" s="77">
        <v>-327000</v>
      </c>
      <c r="N19" s="78">
        <f t="shared" si="2"/>
        <v>8597859</v>
      </c>
      <c r="O19" s="77"/>
      <c r="P19" s="78">
        <f t="shared" si="3"/>
        <v>8597859</v>
      </c>
      <c r="Q19" s="50"/>
      <c r="R19" s="78">
        <f t="shared" si="3"/>
        <v>8597859</v>
      </c>
      <c r="S19" s="50"/>
      <c r="T19" s="78">
        <f t="shared" si="3"/>
        <v>8597859</v>
      </c>
    </row>
    <row r="20" spans="1:20" ht="31.5" customHeight="1">
      <c r="A20" s="14" t="s">
        <v>466</v>
      </c>
      <c r="B20" s="73" t="s">
        <v>368</v>
      </c>
      <c r="C20" s="73" t="s">
        <v>346</v>
      </c>
      <c r="D20" s="73" t="s">
        <v>104</v>
      </c>
      <c r="E20" s="73" t="s">
        <v>478</v>
      </c>
      <c r="F20" s="79">
        <v>0</v>
      </c>
      <c r="G20" s="80">
        <v>90000</v>
      </c>
      <c r="H20" s="79">
        <v>65000</v>
      </c>
      <c r="I20" s="77">
        <v>1000</v>
      </c>
      <c r="J20" s="78">
        <f t="shared" si="0"/>
        <v>66000</v>
      </c>
      <c r="K20" s="77">
        <v>-30000</v>
      </c>
      <c r="L20" s="78">
        <f t="shared" si="1"/>
        <v>36000</v>
      </c>
      <c r="M20" s="77"/>
      <c r="N20" s="78">
        <f t="shared" si="2"/>
        <v>36000</v>
      </c>
      <c r="O20" s="77"/>
      <c r="P20" s="78">
        <f t="shared" si="3"/>
        <v>36000</v>
      </c>
      <c r="Q20" s="50"/>
      <c r="R20" s="78">
        <f t="shared" si="3"/>
        <v>36000</v>
      </c>
      <c r="S20" s="50"/>
      <c r="T20" s="78">
        <f t="shared" si="3"/>
        <v>36000</v>
      </c>
    </row>
    <row r="21" spans="1:20" ht="31.5" customHeight="1">
      <c r="A21" s="14" t="s">
        <v>467</v>
      </c>
      <c r="B21" s="73" t="s">
        <v>368</v>
      </c>
      <c r="C21" s="73" t="s">
        <v>346</v>
      </c>
      <c r="D21" s="73" t="s">
        <v>104</v>
      </c>
      <c r="E21" s="73" t="s">
        <v>462</v>
      </c>
      <c r="F21" s="79">
        <v>0</v>
      </c>
      <c r="G21" s="80">
        <v>652206</v>
      </c>
      <c r="H21" s="79">
        <v>432050</v>
      </c>
      <c r="I21" s="77">
        <v>1107</v>
      </c>
      <c r="J21" s="78">
        <f t="shared" si="0"/>
        <v>433157</v>
      </c>
      <c r="K21" s="77"/>
      <c r="L21" s="78">
        <f t="shared" si="1"/>
        <v>433157</v>
      </c>
      <c r="M21" s="77">
        <v>130000</v>
      </c>
      <c r="N21" s="78">
        <f t="shared" si="2"/>
        <v>563157</v>
      </c>
      <c r="O21" s="77">
        <v>-97529</v>
      </c>
      <c r="P21" s="78">
        <f t="shared" si="3"/>
        <v>465628</v>
      </c>
      <c r="Q21" s="50">
        <f>29397</f>
        <v>29397</v>
      </c>
      <c r="R21" s="78">
        <f t="shared" si="3"/>
        <v>495025</v>
      </c>
      <c r="S21" s="50"/>
      <c r="T21" s="78">
        <f t="shared" si="3"/>
        <v>495025</v>
      </c>
    </row>
    <row r="22" spans="1:20" ht="30.75" customHeight="1">
      <c r="A22" s="14" t="s">
        <v>491</v>
      </c>
      <c r="B22" s="73" t="s">
        <v>368</v>
      </c>
      <c r="C22" s="73" t="s">
        <v>346</v>
      </c>
      <c r="D22" s="73" t="s">
        <v>104</v>
      </c>
      <c r="E22" s="73" t="s">
        <v>463</v>
      </c>
      <c r="F22" s="79">
        <v>0</v>
      </c>
      <c r="G22" s="80">
        <v>3992666</v>
      </c>
      <c r="H22" s="79">
        <v>1719972</v>
      </c>
      <c r="I22" s="77">
        <f>11500+16000</f>
        <v>27500</v>
      </c>
      <c r="J22" s="78">
        <f t="shared" si="0"/>
        <v>1747472</v>
      </c>
      <c r="K22" s="77">
        <f>-12500+150766</f>
        <v>138266</v>
      </c>
      <c r="L22" s="78">
        <f t="shared" si="1"/>
        <v>1885738</v>
      </c>
      <c r="M22" s="77">
        <v>197000</v>
      </c>
      <c r="N22" s="78">
        <f t="shared" si="2"/>
        <v>2082738</v>
      </c>
      <c r="O22" s="77">
        <v>-262000</v>
      </c>
      <c r="P22" s="78">
        <f t="shared" si="3"/>
        <v>1820738</v>
      </c>
      <c r="Q22" s="50">
        <f>20714.15-29397</f>
        <v>-8682.849999999999</v>
      </c>
      <c r="R22" s="78">
        <f t="shared" si="3"/>
        <v>1812055.15</v>
      </c>
      <c r="S22" s="50">
        <f>1720</f>
        <v>1720</v>
      </c>
      <c r="T22" s="78">
        <f t="shared" si="3"/>
        <v>1813775.15</v>
      </c>
    </row>
    <row r="23" spans="1:20" ht="19.5" customHeight="1">
      <c r="A23" s="14" t="s">
        <v>472</v>
      </c>
      <c r="B23" s="73" t="s">
        <v>368</v>
      </c>
      <c r="C23" s="73" t="s">
        <v>346</v>
      </c>
      <c r="D23" s="73" t="s">
        <v>104</v>
      </c>
      <c r="E23" s="73" t="s">
        <v>471</v>
      </c>
      <c r="F23" s="79">
        <v>0</v>
      </c>
      <c r="G23" s="80">
        <v>7096</v>
      </c>
      <c r="H23" s="79">
        <v>7450</v>
      </c>
      <c r="I23" s="77"/>
      <c r="J23" s="78">
        <f t="shared" si="0"/>
        <v>7450</v>
      </c>
      <c r="K23" s="77"/>
      <c r="L23" s="78">
        <f t="shared" si="1"/>
        <v>7450</v>
      </c>
      <c r="M23" s="77"/>
      <c r="N23" s="78">
        <f t="shared" si="2"/>
        <v>7450</v>
      </c>
      <c r="O23" s="77"/>
      <c r="P23" s="78">
        <f t="shared" si="3"/>
        <v>7450</v>
      </c>
      <c r="Q23" s="50">
        <f>-200</f>
        <v>-200</v>
      </c>
      <c r="R23" s="78">
        <f t="shared" si="3"/>
        <v>7250</v>
      </c>
      <c r="S23" s="50"/>
      <c r="T23" s="78">
        <f t="shared" si="3"/>
        <v>7250</v>
      </c>
    </row>
    <row r="24" spans="1:20" ht="19.5" customHeight="1">
      <c r="A24" s="14" t="s">
        <v>476</v>
      </c>
      <c r="B24" s="73" t="s">
        <v>368</v>
      </c>
      <c r="C24" s="73" t="s">
        <v>346</v>
      </c>
      <c r="D24" s="73" t="s">
        <v>104</v>
      </c>
      <c r="E24" s="73" t="s">
        <v>464</v>
      </c>
      <c r="F24" s="79"/>
      <c r="G24" s="80"/>
      <c r="H24" s="79"/>
      <c r="I24" s="77"/>
      <c r="J24" s="78"/>
      <c r="K24" s="77"/>
      <c r="L24" s="78"/>
      <c r="M24" s="77"/>
      <c r="N24" s="78"/>
      <c r="O24" s="77"/>
      <c r="P24" s="78"/>
      <c r="Q24" s="50">
        <v>200</v>
      </c>
      <c r="R24" s="78">
        <f t="shared" si="3"/>
        <v>200</v>
      </c>
      <c r="S24" s="50"/>
      <c r="T24" s="78">
        <f t="shared" si="3"/>
        <v>200</v>
      </c>
    </row>
    <row r="25" spans="1:20" ht="51.75" customHeight="1">
      <c r="A25" s="51" t="s">
        <v>253</v>
      </c>
      <c r="B25" s="73" t="s">
        <v>368</v>
      </c>
      <c r="C25" s="73" t="s">
        <v>346</v>
      </c>
      <c r="D25" s="73" t="s">
        <v>254</v>
      </c>
      <c r="E25" s="73"/>
      <c r="F25" s="79"/>
      <c r="G25" s="80"/>
      <c r="H25" s="79"/>
      <c r="I25" s="81"/>
      <c r="J25" s="78">
        <f>J26+J27</f>
        <v>2849473</v>
      </c>
      <c r="K25" s="77"/>
      <c r="L25" s="78">
        <f>L26+L27</f>
        <v>2879473</v>
      </c>
      <c r="M25" s="77"/>
      <c r="N25" s="78">
        <f>N26+N27</f>
        <v>2879473</v>
      </c>
      <c r="O25" s="77"/>
      <c r="P25" s="78">
        <f>P26+P27</f>
        <v>2208473</v>
      </c>
      <c r="Q25" s="50"/>
      <c r="R25" s="78">
        <f>R26+R27</f>
        <v>2208473</v>
      </c>
      <c r="S25" s="50"/>
      <c r="T25" s="78">
        <f>T26+T27</f>
        <v>2206753</v>
      </c>
    </row>
    <row r="26" spans="1:20" ht="19.5" customHeight="1">
      <c r="A26" s="14" t="s">
        <v>465</v>
      </c>
      <c r="B26" s="73" t="s">
        <v>368</v>
      </c>
      <c r="C26" s="73" t="s">
        <v>346</v>
      </c>
      <c r="D26" s="73" t="s">
        <v>254</v>
      </c>
      <c r="E26" s="73" t="s">
        <v>475</v>
      </c>
      <c r="F26" s="79"/>
      <c r="G26" s="80"/>
      <c r="H26" s="79"/>
      <c r="I26" s="81">
        <v>2848840</v>
      </c>
      <c r="J26" s="78">
        <f>H26+I26</f>
        <v>2848840</v>
      </c>
      <c r="K26" s="77"/>
      <c r="L26" s="78">
        <f>J26+K26</f>
        <v>2848840</v>
      </c>
      <c r="M26" s="77"/>
      <c r="N26" s="78">
        <f>L26+M26</f>
        <v>2848840</v>
      </c>
      <c r="O26" s="77">
        <v>-661000</v>
      </c>
      <c r="P26" s="78">
        <f>N26+O26</f>
        <v>2187840</v>
      </c>
      <c r="Q26" s="50"/>
      <c r="R26" s="78">
        <f>P26+Q26</f>
        <v>2187840</v>
      </c>
      <c r="S26" s="50"/>
      <c r="T26" s="78">
        <f>R26+S26</f>
        <v>2187840</v>
      </c>
    </row>
    <row r="27" spans="1:20" ht="19.5" customHeight="1">
      <c r="A27" s="14" t="s">
        <v>466</v>
      </c>
      <c r="B27" s="73" t="s">
        <v>368</v>
      </c>
      <c r="C27" s="73" t="s">
        <v>346</v>
      </c>
      <c r="D27" s="73" t="s">
        <v>254</v>
      </c>
      <c r="E27" s="73" t="s">
        <v>478</v>
      </c>
      <c r="F27" s="79"/>
      <c r="G27" s="80"/>
      <c r="H27" s="79"/>
      <c r="I27" s="81">
        <v>633</v>
      </c>
      <c r="J27" s="78">
        <f>H27+I27</f>
        <v>633</v>
      </c>
      <c r="K27" s="77">
        <v>30000</v>
      </c>
      <c r="L27" s="78">
        <f>J27+K27</f>
        <v>30633</v>
      </c>
      <c r="M27" s="77"/>
      <c r="N27" s="78">
        <f>L27+M27</f>
        <v>30633</v>
      </c>
      <c r="O27" s="77">
        <v>-10000</v>
      </c>
      <c r="P27" s="78">
        <f>N27+O27</f>
        <v>20633</v>
      </c>
      <c r="Q27" s="50"/>
      <c r="R27" s="78">
        <f>P27+Q27</f>
        <v>20633</v>
      </c>
      <c r="S27" s="50">
        <v>-1720</v>
      </c>
      <c r="T27" s="78">
        <f>R27+S27</f>
        <v>18913</v>
      </c>
    </row>
    <row r="28" spans="1:20" ht="33" customHeight="1">
      <c r="A28" s="12" t="s">
        <v>110</v>
      </c>
      <c r="B28" s="73" t="s">
        <v>368</v>
      </c>
      <c r="C28" s="73" t="s">
        <v>346</v>
      </c>
      <c r="D28" s="73" t="s">
        <v>111</v>
      </c>
      <c r="E28" s="73"/>
      <c r="F28" s="57">
        <f>F29+F30</f>
        <v>0</v>
      </c>
      <c r="G28" s="73"/>
      <c r="H28" s="79">
        <f>H29+H30</f>
        <v>948667</v>
      </c>
      <c r="I28" s="77"/>
      <c r="J28" s="79">
        <f>J29+J30</f>
        <v>948667</v>
      </c>
      <c r="K28" s="77"/>
      <c r="L28" s="79">
        <f>L29+L30</f>
        <v>948667</v>
      </c>
      <c r="M28" s="77"/>
      <c r="N28" s="79">
        <f>N29+N30</f>
        <v>948667</v>
      </c>
      <c r="O28" s="77"/>
      <c r="P28" s="79">
        <f>P29+P30</f>
        <v>946196</v>
      </c>
      <c r="Q28" s="50"/>
      <c r="R28" s="79">
        <f>R29+R30</f>
        <v>946196</v>
      </c>
      <c r="S28" s="50"/>
      <c r="T28" s="79">
        <f>T29+T30</f>
        <v>946196</v>
      </c>
    </row>
    <row r="29" spans="1:20" ht="15.75">
      <c r="A29" s="12" t="s">
        <v>465</v>
      </c>
      <c r="B29" s="73" t="s">
        <v>368</v>
      </c>
      <c r="C29" s="73" t="s">
        <v>346</v>
      </c>
      <c r="D29" s="73" t="s">
        <v>111</v>
      </c>
      <c r="E29" s="73" t="s">
        <v>475</v>
      </c>
      <c r="F29" s="79">
        <v>0</v>
      </c>
      <c r="G29" s="73" t="s">
        <v>508</v>
      </c>
      <c r="H29" s="79">
        <v>928667</v>
      </c>
      <c r="I29" s="77"/>
      <c r="J29" s="78">
        <f>H29+I29</f>
        <v>928667</v>
      </c>
      <c r="K29" s="77"/>
      <c r="L29" s="78">
        <f>J29+K29</f>
        <v>928667</v>
      </c>
      <c r="M29" s="77"/>
      <c r="N29" s="78">
        <f>L29+M29</f>
        <v>928667</v>
      </c>
      <c r="O29" s="77"/>
      <c r="P29" s="78">
        <f>N29+O29</f>
        <v>928667</v>
      </c>
      <c r="Q29" s="50"/>
      <c r="R29" s="78">
        <f>P29+Q29</f>
        <v>928667</v>
      </c>
      <c r="S29" s="50"/>
      <c r="T29" s="78">
        <f>R29+S29</f>
        <v>928667</v>
      </c>
    </row>
    <row r="30" spans="1:20" ht="32.25" customHeight="1">
      <c r="A30" s="12" t="s">
        <v>466</v>
      </c>
      <c r="B30" s="73" t="s">
        <v>368</v>
      </c>
      <c r="C30" s="73" t="s">
        <v>346</v>
      </c>
      <c r="D30" s="73" t="s">
        <v>111</v>
      </c>
      <c r="E30" s="73" t="s">
        <v>478</v>
      </c>
      <c r="F30" s="79">
        <v>0</v>
      </c>
      <c r="G30" s="73" t="s">
        <v>509</v>
      </c>
      <c r="H30" s="79">
        <v>20000</v>
      </c>
      <c r="I30" s="77"/>
      <c r="J30" s="78">
        <f>H30+I30</f>
        <v>20000</v>
      </c>
      <c r="K30" s="77"/>
      <c r="L30" s="78">
        <f>J30+K30</f>
        <v>20000</v>
      </c>
      <c r="M30" s="77"/>
      <c r="N30" s="78">
        <f>L30+M30</f>
        <v>20000</v>
      </c>
      <c r="O30" s="77">
        <v>-2471</v>
      </c>
      <c r="P30" s="78">
        <f>N30+O30</f>
        <v>17529</v>
      </c>
      <c r="Q30" s="50"/>
      <c r="R30" s="78">
        <f>P30+Q30</f>
        <v>17529</v>
      </c>
      <c r="S30" s="50"/>
      <c r="T30" s="78">
        <f>R30+S30</f>
        <v>17529</v>
      </c>
    </row>
    <row r="31" spans="1:20" ht="46.5" customHeight="1">
      <c r="A31" s="16" t="s">
        <v>112</v>
      </c>
      <c r="B31" s="73">
        <v>901</v>
      </c>
      <c r="C31" s="73" t="s">
        <v>346</v>
      </c>
      <c r="D31" s="73" t="s">
        <v>113</v>
      </c>
      <c r="E31" s="73"/>
      <c r="F31" s="79" t="e">
        <f>#REF!+F32+F34+F37+#REF!+#REF!+#REF!+#REF!</f>
        <v>#REF!</v>
      </c>
      <c r="G31" s="80"/>
      <c r="H31" s="79">
        <f>H32+H34+H37+H33+H36</f>
        <v>20219853</v>
      </c>
      <c r="I31" s="77"/>
      <c r="J31" s="79">
        <f>J32+J34+J37+J33+J36</f>
        <v>18679672</v>
      </c>
      <c r="K31" s="77"/>
      <c r="L31" s="79">
        <f>L32+L34+L37+L33+L36+L35</f>
        <v>18529046.86</v>
      </c>
      <c r="M31" s="77"/>
      <c r="N31" s="79">
        <f>N32+N34+N37+N33+N36+N35</f>
        <v>18529046.86</v>
      </c>
      <c r="O31" s="77"/>
      <c r="P31" s="79">
        <f>P32+P34+P37+P33+P36+P35</f>
        <v>16036440.52</v>
      </c>
      <c r="Q31" s="50"/>
      <c r="R31" s="79">
        <f>R32+R34+R37+R33+R36+R35</f>
        <v>16091413.530000001</v>
      </c>
      <c r="S31" s="50"/>
      <c r="T31" s="79">
        <f>T32+T34+T37+T33+T36+T35</f>
        <v>16032950.669999998</v>
      </c>
    </row>
    <row r="32" spans="1:20" ht="23.25" customHeight="1">
      <c r="A32" s="12" t="s">
        <v>465</v>
      </c>
      <c r="B32" s="73" t="s">
        <v>368</v>
      </c>
      <c r="C32" s="73" t="s">
        <v>346</v>
      </c>
      <c r="D32" s="73" t="s">
        <v>113</v>
      </c>
      <c r="E32" s="73" t="s">
        <v>460</v>
      </c>
      <c r="F32" s="79">
        <v>0</v>
      </c>
      <c r="G32" s="80">
        <v>1591415</v>
      </c>
      <c r="H32" s="79">
        <v>1573962</v>
      </c>
      <c r="I32" s="77">
        <v>-1573962</v>
      </c>
      <c r="J32" s="78">
        <f>H32+I32</f>
        <v>0</v>
      </c>
      <c r="K32" s="77"/>
      <c r="L32" s="78">
        <f aca="true" t="shared" si="4" ref="L32:L37">J32+K32</f>
        <v>0</v>
      </c>
      <c r="M32" s="77"/>
      <c r="N32" s="78">
        <f aca="true" t="shared" si="5" ref="N32:N37">L32+M32</f>
        <v>0</v>
      </c>
      <c r="O32" s="77"/>
      <c r="P32" s="78">
        <f aca="true" t="shared" si="6" ref="P32:T37">N32+O32</f>
        <v>0</v>
      </c>
      <c r="Q32" s="50"/>
      <c r="R32" s="78">
        <f t="shared" si="6"/>
        <v>0</v>
      </c>
      <c r="S32" s="50"/>
      <c r="T32" s="78">
        <f t="shared" si="6"/>
        <v>0</v>
      </c>
    </row>
    <row r="33" spans="1:20" ht="31.5" customHeight="1">
      <c r="A33" s="12" t="s">
        <v>466</v>
      </c>
      <c r="B33" s="73" t="s">
        <v>368</v>
      </c>
      <c r="C33" s="73" t="s">
        <v>346</v>
      </c>
      <c r="D33" s="73" t="s">
        <v>113</v>
      </c>
      <c r="E33" s="73" t="s">
        <v>461</v>
      </c>
      <c r="F33" s="79"/>
      <c r="G33" s="80"/>
      <c r="H33" s="79">
        <v>288</v>
      </c>
      <c r="I33" s="77">
        <v>-288</v>
      </c>
      <c r="J33" s="78">
        <f>H33+I33</f>
        <v>0</v>
      </c>
      <c r="K33" s="77"/>
      <c r="L33" s="78">
        <f t="shared" si="4"/>
        <v>0</v>
      </c>
      <c r="M33" s="77"/>
      <c r="N33" s="78">
        <f t="shared" si="5"/>
        <v>0</v>
      </c>
      <c r="O33" s="77"/>
      <c r="P33" s="78">
        <f t="shared" si="6"/>
        <v>0</v>
      </c>
      <c r="Q33" s="50"/>
      <c r="R33" s="78">
        <f t="shared" si="6"/>
        <v>0</v>
      </c>
      <c r="S33" s="50"/>
      <c r="T33" s="78">
        <f t="shared" si="6"/>
        <v>0</v>
      </c>
    </row>
    <row r="34" spans="1:20" ht="34.5" customHeight="1">
      <c r="A34" s="12" t="s">
        <v>465</v>
      </c>
      <c r="B34" s="73" t="s">
        <v>368</v>
      </c>
      <c r="C34" s="73" t="s">
        <v>346</v>
      </c>
      <c r="D34" s="73" t="s">
        <v>113</v>
      </c>
      <c r="E34" s="73" t="s">
        <v>475</v>
      </c>
      <c r="F34" s="79">
        <v>0</v>
      </c>
      <c r="G34" s="80">
        <v>11874980</v>
      </c>
      <c r="H34" s="79">
        <v>12323382</v>
      </c>
      <c r="I34" s="77">
        <v>-20615</v>
      </c>
      <c r="J34" s="78">
        <f>H34+I34</f>
        <v>12302767</v>
      </c>
      <c r="K34" s="77">
        <v>-7874</v>
      </c>
      <c r="L34" s="78">
        <f t="shared" si="4"/>
        <v>12294893</v>
      </c>
      <c r="M34" s="77">
        <v>-6871</v>
      </c>
      <c r="N34" s="78">
        <f t="shared" si="5"/>
        <v>12288022</v>
      </c>
      <c r="O34" s="77">
        <v>-113900</v>
      </c>
      <c r="P34" s="78">
        <f t="shared" si="6"/>
        <v>12174122</v>
      </c>
      <c r="Q34" s="50"/>
      <c r="R34" s="78">
        <f t="shared" si="6"/>
        <v>12174122</v>
      </c>
      <c r="S34" s="50"/>
      <c r="T34" s="78">
        <f t="shared" si="6"/>
        <v>12174122</v>
      </c>
    </row>
    <row r="35" spans="1:20" ht="34.5" customHeight="1">
      <c r="A35" s="12" t="s">
        <v>466</v>
      </c>
      <c r="B35" s="73" t="s">
        <v>368</v>
      </c>
      <c r="C35" s="73" t="s">
        <v>346</v>
      </c>
      <c r="D35" s="73" t="s">
        <v>113</v>
      </c>
      <c r="E35" s="73" t="s">
        <v>478</v>
      </c>
      <c r="F35" s="79"/>
      <c r="G35" s="80"/>
      <c r="H35" s="79"/>
      <c r="I35" s="77"/>
      <c r="J35" s="78"/>
      <c r="K35" s="77">
        <v>690</v>
      </c>
      <c r="L35" s="78">
        <f t="shared" si="4"/>
        <v>690</v>
      </c>
      <c r="M35" s="77"/>
      <c r="N35" s="78">
        <f t="shared" si="5"/>
        <v>690</v>
      </c>
      <c r="O35" s="77">
        <v>200</v>
      </c>
      <c r="P35" s="78">
        <f t="shared" si="6"/>
        <v>890</v>
      </c>
      <c r="Q35" s="50"/>
      <c r="R35" s="78">
        <f t="shared" si="6"/>
        <v>890</v>
      </c>
      <c r="S35" s="50"/>
      <c r="T35" s="78">
        <f t="shared" si="6"/>
        <v>890</v>
      </c>
    </row>
    <row r="36" spans="1:20" ht="48.75" customHeight="1">
      <c r="A36" s="14" t="s">
        <v>467</v>
      </c>
      <c r="B36" s="73" t="s">
        <v>368</v>
      </c>
      <c r="C36" s="73" t="s">
        <v>346</v>
      </c>
      <c r="D36" s="73" t="s">
        <v>113</v>
      </c>
      <c r="E36" s="73" t="s">
        <v>462</v>
      </c>
      <c r="F36" s="79"/>
      <c r="G36" s="80"/>
      <c r="H36" s="79">
        <v>554900</v>
      </c>
      <c r="I36" s="77">
        <v>40000</v>
      </c>
      <c r="J36" s="78">
        <f>H36+I36</f>
        <v>594900</v>
      </c>
      <c r="K36" s="77">
        <v>-1019.9</v>
      </c>
      <c r="L36" s="78">
        <f t="shared" si="4"/>
        <v>593880.1</v>
      </c>
      <c r="M36" s="77"/>
      <c r="N36" s="78">
        <f t="shared" si="5"/>
        <v>593880.1</v>
      </c>
      <c r="O36" s="77">
        <v>-177606.35</v>
      </c>
      <c r="P36" s="78">
        <f t="shared" si="6"/>
        <v>416273.75</v>
      </c>
      <c r="Q36" s="50">
        <f>3561-1183+1320.89</f>
        <v>3698.8900000000003</v>
      </c>
      <c r="R36" s="78">
        <f t="shared" si="6"/>
        <v>419972.64</v>
      </c>
      <c r="S36" s="50">
        <f>-160.85+1000-900-100</f>
        <v>-160.85000000000002</v>
      </c>
      <c r="T36" s="78">
        <f t="shared" si="6"/>
        <v>419811.79000000004</v>
      </c>
    </row>
    <row r="37" spans="1:20" ht="33" customHeight="1">
      <c r="A37" s="14" t="s">
        <v>491</v>
      </c>
      <c r="B37" s="73" t="s">
        <v>368</v>
      </c>
      <c r="C37" s="73" t="s">
        <v>346</v>
      </c>
      <c r="D37" s="73" t="s">
        <v>113</v>
      </c>
      <c r="E37" s="73" t="s">
        <v>463</v>
      </c>
      <c r="F37" s="79">
        <v>0</v>
      </c>
      <c r="G37" s="80">
        <v>0</v>
      </c>
      <c r="H37" s="79">
        <v>5767321</v>
      </c>
      <c r="I37" s="81">
        <f>-5931+20615</f>
        <v>14684</v>
      </c>
      <c r="J37" s="57">
        <f>H37+I37</f>
        <v>5782005</v>
      </c>
      <c r="K37" s="77">
        <f>8344.76-150766</f>
        <v>-142421.24</v>
      </c>
      <c r="L37" s="57">
        <f t="shared" si="4"/>
        <v>5639583.76</v>
      </c>
      <c r="M37" s="77">
        <v>6871</v>
      </c>
      <c r="N37" s="57">
        <f t="shared" si="5"/>
        <v>5646454.76</v>
      </c>
      <c r="O37" s="77">
        <f>-2201801.56+501.57</f>
        <v>-2201299.99</v>
      </c>
      <c r="P37" s="57">
        <f t="shared" si="6"/>
        <v>3445154.7699999996</v>
      </c>
      <c r="Q37" s="50">
        <f>6388.22-1231.24-2329.76+1183+2000+34867+25000+1822.5+6388.22+2865-12740.24+4153.86-15996.44-6296+5200</f>
        <v>51274.119999999995</v>
      </c>
      <c r="R37" s="57">
        <f t="shared" si="6"/>
        <v>3496428.8899999997</v>
      </c>
      <c r="S37" s="50">
        <f>750-14518.62-1320.78-25680+4573.56-22106.17</f>
        <v>-58302.01</v>
      </c>
      <c r="T37" s="57">
        <f t="shared" si="6"/>
        <v>3438126.88</v>
      </c>
    </row>
    <row r="38" spans="1:20" ht="51" customHeight="1" outlineLevel="1">
      <c r="A38" s="51" t="s">
        <v>253</v>
      </c>
      <c r="B38" s="73" t="s">
        <v>368</v>
      </c>
      <c r="C38" s="73" t="s">
        <v>346</v>
      </c>
      <c r="D38" s="73" t="s">
        <v>252</v>
      </c>
      <c r="E38" s="73"/>
      <c r="F38" s="57"/>
      <c r="G38" s="73"/>
      <c r="H38" s="57"/>
      <c r="I38" s="81"/>
      <c r="J38" s="57">
        <f>J39+J40</f>
        <v>1574250</v>
      </c>
      <c r="K38" s="77"/>
      <c r="L38" s="57">
        <f>L39+L40</f>
        <v>1574109.14</v>
      </c>
      <c r="M38" s="77"/>
      <c r="N38" s="57">
        <f>N39+N40</f>
        <v>1574109.14</v>
      </c>
      <c r="O38" s="77"/>
      <c r="P38" s="57">
        <f>P39+P40</f>
        <v>916537.0199999999</v>
      </c>
      <c r="Q38" s="50"/>
      <c r="R38" s="57">
        <f>R39+R40</f>
        <v>916537.0199999999</v>
      </c>
      <c r="S38" s="50"/>
      <c r="T38" s="57">
        <f>T39+T40</f>
        <v>915972.2199999999</v>
      </c>
    </row>
    <row r="39" spans="1:20" ht="33" customHeight="1" outlineLevel="1">
      <c r="A39" s="14" t="s">
        <v>465</v>
      </c>
      <c r="B39" s="73" t="s">
        <v>368</v>
      </c>
      <c r="C39" s="73" t="s">
        <v>346</v>
      </c>
      <c r="D39" s="73" t="s">
        <v>252</v>
      </c>
      <c r="E39" s="73" t="s">
        <v>475</v>
      </c>
      <c r="F39" s="79"/>
      <c r="G39" s="80"/>
      <c r="H39" s="79"/>
      <c r="I39" s="81">
        <v>1573962</v>
      </c>
      <c r="J39" s="57">
        <f>H39+I39</f>
        <v>1573962</v>
      </c>
      <c r="K39" s="77">
        <v>-453.86</v>
      </c>
      <c r="L39" s="57">
        <f>J39+K39</f>
        <v>1573508.14</v>
      </c>
      <c r="M39" s="77"/>
      <c r="N39" s="57">
        <f>L39+M39</f>
        <v>1573508.14</v>
      </c>
      <c r="O39" s="77">
        <v>-657531.26</v>
      </c>
      <c r="P39" s="57">
        <f>N39+O39</f>
        <v>915976.8799999999</v>
      </c>
      <c r="Q39" s="50"/>
      <c r="R39" s="57">
        <f>P39+Q39</f>
        <v>915976.8799999999</v>
      </c>
      <c r="S39" s="50">
        <f>-437.97-126.83</f>
        <v>-564.8000000000001</v>
      </c>
      <c r="T39" s="57">
        <f>R39+S39</f>
        <v>915412.0799999998</v>
      </c>
    </row>
    <row r="40" spans="1:20" ht="33" customHeight="1" outlineLevel="1">
      <c r="A40" s="14" t="s">
        <v>466</v>
      </c>
      <c r="B40" s="73" t="s">
        <v>368</v>
      </c>
      <c r="C40" s="73" t="s">
        <v>346</v>
      </c>
      <c r="D40" s="73" t="s">
        <v>252</v>
      </c>
      <c r="E40" s="73" t="s">
        <v>478</v>
      </c>
      <c r="F40" s="79"/>
      <c r="G40" s="80"/>
      <c r="H40" s="79"/>
      <c r="I40" s="81">
        <v>288</v>
      </c>
      <c r="J40" s="57">
        <f>H40+I40</f>
        <v>288</v>
      </c>
      <c r="K40" s="77">
        <v>313</v>
      </c>
      <c r="L40" s="57">
        <f>J40+K40</f>
        <v>601</v>
      </c>
      <c r="M40" s="77"/>
      <c r="N40" s="57">
        <f>L40+M40</f>
        <v>601</v>
      </c>
      <c r="O40" s="77">
        <v>-40.86</v>
      </c>
      <c r="P40" s="57">
        <f>N40+O40</f>
        <v>560.14</v>
      </c>
      <c r="Q40" s="50"/>
      <c r="R40" s="57">
        <f>P40+Q40</f>
        <v>560.14</v>
      </c>
      <c r="S40" s="50"/>
      <c r="T40" s="57">
        <f>R40+S40</f>
        <v>560.14</v>
      </c>
    </row>
    <row r="41" spans="1:20" ht="51" customHeight="1" outlineLevel="1">
      <c r="A41" s="14" t="s">
        <v>114</v>
      </c>
      <c r="B41" s="73" t="s">
        <v>368</v>
      </c>
      <c r="C41" s="73" t="s">
        <v>346</v>
      </c>
      <c r="D41" s="73" t="s">
        <v>116</v>
      </c>
      <c r="E41" s="73"/>
      <c r="F41" s="57"/>
      <c r="G41" s="73"/>
      <c r="H41" s="57">
        <f>H42</f>
        <v>12500</v>
      </c>
      <c r="I41" s="81"/>
      <c r="J41" s="57">
        <f>J42</f>
        <v>0</v>
      </c>
      <c r="K41" s="77"/>
      <c r="L41" s="57">
        <f>L42</f>
        <v>12500</v>
      </c>
      <c r="M41" s="77"/>
      <c r="N41" s="57">
        <f>N42</f>
        <v>12500</v>
      </c>
      <c r="O41" s="77"/>
      <c r="P41" s="57">
        <f>P42</f>
        <v>12500</v>
      </c>
      <c r="Q41" s="50"/>
      <c r="R41" s="57">
        <f>R42</f>
        <v>12500</v>
      </c>
      <c r="S41" s="50"/>
      <c r="T41" s="57">
        <f>T42</f>
        <v>12500</v>
      </c>
    </row>
    <row r="42" spans="1:20" ht="33.75" customHeight="1" outlineLevel="1">
      <c r="A42" s="18" t="s">
        <v>115</v>
      </c>
      <c r="B42" s="73" t="s">
        <v>368</v>
      </c>
      <c r="C42" s="73" t="s">
        <v>346</v>
      </c>
      <c r="D42" s="73" t="s">
        <v>218</v>
      </c>
      <c r="E42" s="73"/>
      <c r="F42" s="57"/>
      <c r="G42" s="73"/>
      <c r="H42" s="57">
        <f>H44+H43</f>
        <v>12500</v>
      </c>
      <c r="I42" s="77"/>
      <c r="J42" s="57">
        <f>J44+J43</f>
        <v>0</v>
      </c>
      <c r="K42" s="77"/>
      <c r="L42" s="57">
        <f>L44+L43</f>
        <v>12500</v>
      </c>
      <c r="M42" s="77"/>
      <c r="N42" s="57">
        <f>N44+N43</f>
        <v>12500</v>
      </c>
      <c r="O42" s="77"/>
      <c r="P42" s="57">
        <f>P44+P43</f>
        <v>12500</v>
      </c>
      <c r="Q42" s="50"/>
      <c r="R42" s="57">
        <f>R44+R43</f>
        <v>12500</v>
      </c>
      <c r="S42" s="50"/>
      <c r="T42" s="57">
        <f>T44+T43</f>
        <v>12500</v>
      </c>
    </row>
    <row r="43" spans="1:20" ht="33.75" customHeight="1" outlineLevel="1">
      <c r="A43" s="12" t="s">
        <v>466</v>
      </c>
      <c r="B43" s="73" t="s">
        <v>368</v>
      </c>
      <c r="C43" s="73" t="s">
        <v>346</v>
      </c>
      <c r="D43" s="73" t="s">
        <v>218</v>
      </c>
      <c r="E43" s="73" t="s">
        <v>478</v>
      </c>
      <c r="F43" s="57"/>
      <c r="G43" s="73"/>
      <c r="H43" s="57">
        <v>1000</v>
      </c>
      <c r="I43" s="81">
        <v>-1000</v>
      </c>
      <c r="J43" s="78">
        <f>H43+I43</f>
        <v>0</v>
      </c>
      <c r="K43" s="77"/>
      <c r="L43" s="78">
        <f>J43+K43</f>
        <v>0</v>
      </c>
      <c r="M43" s="77"/>
      <c r="N43" s="78">
        <f>L43+M43</f>
        <v>0</v>
      </c>
      <c r="O43" s="77"/>
      <c r="P43" s="78">
        <f>N43+O43</f>
        <v>0</v>
      </c>
      <c r="Q43" s="50"/>
      <c r="R43" s="78">
        <f>P43+Q43</f>
        <v>0</v>
      </c>
      <c r="S43" s="50"/>
      <c r="T43" s="78">
        <f>R43+S43</f>
        <v>0</v>
      </c>
    </row>
    <row r="44" spans="1:20" ht="33.75" customHeight="1" outlineLevel="1">
      <c r="A44" s="14" t="s">
        <v>491</v>
      </c>
      <c r="B44" s="73" t="s">
        <v>368</v>
      </c>
      <c r="C44" s="73" t="s">
        <v>346</v>
      </c>
      <c r="D44" s="73" t="s">
        <v>218</v>
      </c>
      <c r="E44" s="73" t="s">
        <v>463</v>
      </c>
      <c r="F44" s="57"/>
      <c r="G44" s="73"/>
      <c r="H44" s="57">
        <v>11500</v>
      </c>
      <c r="I44" s="81">
        <v>-11500</v>
      </c>
      <c r="J44" s="78">
        <f>H44+I44</f>
        <v>0</v>
      </c>
      <c r="K44" s="77">
        <v>12500</v>
      </c>
      <c r="L44" s="78">
        <f>J44+K44</f>
        <v>12500</v>
      </c>
      <c r="M44" s="77"/>
      <c r="N44" s="78">
        <f>L44+M44</f>
        <v>12500</v>
      </c>
      <c r="O44" s="77"/>
      <c r="P44" s="78">
        <f>N44+O44</f>
        <v>12500</v>
      </c>
      <c r="Q44" s="50"/>
      <c r="R44" s="78">
        <f>P44+Q44</f>
        <v>12500</v>
      </c>
      <c r="S44" s="50"/>
      <c r="T44" s="78">
        <f>R44+S44</f>
        <v>12500</v>
      </c>
    </row>
    <row r="45" spans="1:20" ht="18" customHeight="1" outlineLevel="1">
      <c r="A45" s="19" t="s">
        <v>117</v>
      </c>
      <c r="B45" s="73" t="s">
        <v>368</v>
      </c>
      <c r="C45" s="73" t="s">
        <v>388</v>
      </c>
      <c r="D45" s="73" t="s">
        <v>119</v>
      </c>
      <c r="E45" s="82"/>
      <c r="F45" s="79">
        <f>F46</f>
        <v>0</v>
      </c>
      <c r="G45" s="82"/>
      <c r="H45" s="79">
        <f>H46</f>
        <v>200000</v>
      </c>
      <c r="I45" s="77"/>
      <c r="J45" s="79">
        <f>J46</f>
        <v>90000</v>
      </c>
      <c r="K45" s="77"/>
      <c r="L45" s="79">
        <f>L46</f>
        <v>0</v>
      </c>
      <c r="M45" s="77"/>
      <c r="N45" s="79">
        <f>N46</f>
        <v>0</v>
      </c>
      <c r="O45" s="77"/>
      <c r="P45" s="79">
        <f>P46</f>
        <v>0</v>
      </c>
      <c r="Q45" s="50"/>
      <c r="R45" s="79">
        <f>R46</f>
        <v>0</v>
      </c>
      <c r="S45" s="50"/>
      <c r="T45" s="79">
        <f>T46</f>
        <v>0</v>
      </c>
    </row>
    <row r="46" spans="1:20" ht="31.5" outlineLevel="1">
      <c r="A46" s="20" t="s">
        <v>459</v>
      </c>
      <c r="B46" s="83" t="s">
        <v>368</v>
      </c>
      <c r="C46" s="83" t="s">
        <v>388</v>
      </c>
      <c r="D46" s="73" t="s">
        <v>120</v>
      </c>
      <c r="E46" s="83"/>
      <c r="F46" s="79">
        <f>F47</f>
        <v>0</v>
      </c>
      <c r="G46" s="83"/>
      <c r="H46" s="79">
        <f>H47</f>
        <v>200000</v>
      </c>
      <c r="I46" s="77"/>
      <c r="J46" s="79">
        <f>J47</f>
        <v>90000</v>
      </c>
      <c r="K46" s="77"/>
      <c r="L46" s="79">
        <f>L47</f>
        <v>0</v>
      </c>
      <c r="M46" s="77"/>
      <c r="N46" s="79">
        <f>N47</f>
        <v>0</v>
      </c>
      <c r="O46" s="77"/>
      <c r="P46" s="79">
        <f>P47</f>
        <v>0</v>
      </c>
      <c r="Q46" s="50"/>
      <c r="R46" s="79">
        <f>R47</f>
        <v>0</v>
      </c>
      <c r="S46" s="50"/>
      <c r="T46" s="79">
        <f>T47</f>
        <v>0</v>
      </c>
    </row>
    <row r="47" spans="1:20" ht="18" customHeight="1" outlineLevel="1">
      <c r="A47" s="19" t="s">
        <v>149</v>
      </c>
      <c r="B47" s="83" t="s">
        <v>368</v>
      </c>
      <c r="C47" s="83" t="s">
        <v>388</v>
      </c>
      <c r="D47" s="73" t="s">
        <v>120</v>
      </c>
      <c r="E47" s="83" t="s">
        <v>480</v>
      </c>
      <c r="F47" s="79">
        <v>0</v>
      </c>
      <c r="G47" s="83" t="s">
        <v>506</v>
      </c>
      <c r="H47" s="79">
        <v>200000</v>
      </c>
      <c r="I47" s="77">
        <v>-110000</v>
      </c>
      <c r="J47" s="78">
        <f>H47+I47</f>
        <v>90000</v>
      </c>
      <c r="K47" s="77">
        <v>-90000</v>
      </c>
      <c r="L47" s="78">
        <f>J47+K47</f>
        <v>0</v>
      </c>
      <c r="M47" s="77"/>
      <c r="N47" s="78">
        <f>L47+M47</f>
        <v>0</v>
      </c>
      <c r="O47" s="77"/>
      <c r="P47" s="78">
        <f>N47+O47</f>
        <v>0</v>
      </c>
      <c r="Q47" s="50"/>
      <c r="R47" s="78">
        <f>P47+Q47</f>
        <v>0</v>
      </c>
      <c r="S47" s="50"/>
      <c r="T47" s="78">
        <f>R47+S47</f>
        <v>0</v>
      </c>
    </row>
    <row r="48" spans="1:20" ht="30" customHeight="1">
      <c r="A48" s="12" t="s">
        <v>402</v>
      </c>
      <c r="B48" s="73">
        <v>901</v>
      </c>
      <c r="C48" s="73" t="s">
        <v>430</v>
      </c>
      <c r="D48" s="73"/>
      <c r="E48" s="73"/>
      <c r="F48" s="57" t="e">
        <f>#REF!+F75+#REF!+#REF!+#REF!+#REF!</f>
        <v>#REF!</v>
      </c>
      <c r="G48" s="73"/>
      <c r="H48" s="57">
        <f>H49+H52+H75</f>
        <v>15634600</v>
      </c>
      <c r="I48" s="77"/>
      <c r="J48" s="57">
        <f>J49+J52+J75+J82</f>
        <v>15754700</v>
      </c>
      <c r="K48" s="77"/>
      <c r="L48" s="57">
        <f>L49+L52+L75+L82</f>
        <v>15754700</v>
      </c>
      <c r="M48" s="77"/>
      <c r="N48" s="57">
        <f>N49+N52+N75+N82</f>
        <v>15914700</v>
      </c>
      <c r="O48" s="77"/>
      <c r="P48" s="57">
        <f>P49+P52+P75+P82</f>
        <v>20308811.46</v>
      </c>
      <c r="Q48" s="50"/>
      <c r="R48" s="57">
        <f>R49+R52+R75+R82</f>
        <v>20524324.3</v>
      </c>
      <c r="S48" s="50"/>
      <c r="T48" s="57">
        <f>T49+T52+T75+T82</f>
        <v>20561995.79</v>
      </c>
    </row>
    <row r="49" spans="1:20" ht="148.5" customHeight="1">
      <c r="A49" s="35" t="s">
        <v>121</v>
      </c>
      <c r="B49" s="73">
        <v>901</v>
      </c>
      <c r="C49" s="73" t="s">
        <v>430</v>
      </c>
      <c r="D49" s="73" t="s">
        <v>640</v>
      </c>
      <c r="E49" s="73"/>
      <c r="F49" s="57"/>
      <c r="G49" s="73"/>
      <c r="H49" s="57">
        <f>H50</f>
        <v>50000</v>
      </c>
      <c r="I49" s="77"/>
      <c r="J49" s="57">
        <f>J50</f>
        <v>50000</v>
      </c>
      <c r="K49" s="77"/>
      <c r="L49" s="57">
        <f>L50</f>
        <v>50000</v>
      </c>
      <c r="M49" s="77"/>
      <c r="N49" s="57">
        <f>N50</f>
        <v>50000</v>
      </c>
      <c r="O49" s="77"/>
      <c r="P49" s="57">
        <f>P50</f>
        <v>50000</v>
      </c>
      <c r="Q49" s="50"/>
      <c r="R49" s="57">
        <f>R50</f>
        <v>39000</v>
      </c>
      <c r="S49" s="50"/>
      <c r="T49" s="57">
        <f>T50</f>
        <v>39000</v>
      </c>
    </row>
    <row r="50" spans="1:20" ht="37.5" customHeight="1">
      <c r="A50" s="14" t="s">
        <v>122</v>
      </c>
      <c r="B50" s="73">
        <v>901</v>
      </c>
      <c r="C50" s="73" t="s">
        <v>430</v>
      </c>
      <c r="D50" s="73" t="s">
        <v>123</v>
      </c>
      <c r="E50" s="73"/>
      <c r="F50" s="57"/>
      <c r="G50" s="73"/>
      <c r="H50" s="57">
        <f>H51</f>
        <v>50000</v>
      </c>
      <c r="I50" s="77"/>
      <c r="J50" s="57">
        <f>J51</f>
        <v>50000</v>
      </c>
      <c r="K50" s="77"/>
      <c r="L50" s="57">
        <f>L51</f>
        <v>50000</v>
      </c>
      <c r="M50" s="77"/>
      <c r="N50" s="57">
        <f>N51</f>
        <v>50000</v>
      </c>
      <c r="O50" s="77"/>
      <c r="P50" s="57">
        <f>P51</f>
        <v>50000</v>
      </c>
      <c r="Q50" s="50"/>
      <c r="R50" s="57">
        <f>R51</f>
        <v>39000</v>
      </c>
      <c r="S50" s="50"/>
      <c r="T50" s="57">
        <f>T51</f>
        <v>39000</v>
      </c>
    </row>
    <row r="51" spans="1:20" ht="34.5" customHeight="1">
      <c r="A51" s="14" t="s">
        <v>491</v>
      </c>
      <c r="B51" s="73">
        <v>901</v>
      </c>
      <c r="C51" s="73" t="s">
        <v>430</v>
      </c>
      <c r="D51" s="73" t="s">
        <v>124</v>
      </c>
      <c r="E51" s="73" t="s">
        <v>463</v>
      </c>
      <c r="F51" s="57"/>
      <c r="G51" s="73"/>
      <c r="H51" s="57">
        <v>50000</v>
      </c>
      <c r="I51" s="77"/>
      <c r="J51" s="78">
        <f>H51+I51</f>
        <v>50000</v>
      </c>
      <c r="K51" s="77"/>
      <c r="L51" s="78">
        <f>J51+K51</f>
        <v>50000</v>
      </c>
      <c r="M51" s="77"/>
      <c r="N51" s="78">
        <f>L51+M51</f>
        <v>50000</v>
      </c>
      <c r="O51" s="77"/>
      <c r="P51" s="78">
        <f>N51+O51</f>
        <v>50000</v>
      </c>
      <c r="Q51" s="50">
        <f>-11000</f>
        <v>-11000</v>
      </c>
      <c r="R51" s="78">
        <f>P51+Q51</f>
        <v>39000</v>
      </c>
      <c r="S51" s="50"/>
      <c r="T51" s="78">
        <f>R51+S51</f>
        <v>39000</v>
      </c>
    </row>
    <row r="52" spans="1:20" ht="83.25" customHeight="1">
      <c r="A52" s="14" t="s">
        <v>105</v>
      </c>
      <c r="B52" s="73">
        <v>901</v>
      </c>
      <c r="C52" s="73" t="s">
        <v>430</v>
      </c>
      <c r="D52" s="73" t="s">
        <v>106</v>
      </c>
      <c r="E52" s="73"/>
      <c r="F52" s="57"/>
      <c r="G52" s="73"/>
      <c r="H52" s="57">
        <f>H53+H65+H69</f>
        <v>12084600</v>
      </c>
      <c r="I52" s="77"/>
      <c r="J52" s="57">
        <f>J53+J65+J69</f>
        <v>12084600</v>
      </c>
      <c r="K52" s="77"/>
      <c r="L52" s="57">
        <f>L53+L65+L69</f>
        <v>12085272.75</v>
      </c>
      <c r="M52" s="77"/>
      <c r="N52" s="57">
        <f>N53+N65+N69</f>
        <v>12085272.75</v>
      </c>
      <c r="O52" s="77"/>
      <c r="P52" s="57">
        <f>P53+P65+P69</f>
        <v>16748268.21</v>
      </c>
      <c r="Q52" s="50"/>
      <c r="R52" s="57">
        <f>R53+R65+R69</f>
        <v>16974781.05</v>
      </c>
      <c r="S52" s="50"/>
      <c r="T52" s="57">
        <f>T53+T65+T69</f>
        <v>17012452.54</v>
      </c>
    </row>
    <row r="53" spans="1:20" ht="74.25" customHeight="1">
      <c r="A53" s="14" t="s">
        <v>125</v>
      </c>
      <c r="B53" s="73">
        <v>901</v>
      </c>
      <c r="C53" s="73" t="s">
        <v>430</v>
      </c>
      <c r="D53" s="73" t="s">
        <v>126</v>
      </c>
      <c r="E53" s="73"/>
      <c r="F53" s="57"/>
      <c r="G53" s="73"/>
      <c r="H53" s="57">
        <f>H54+H56+H58+H60+H62</f>
        <v>939800</v>
      </c>
      <c r="I53" s="77"/>
      <c r="J53" s="57">
        <f>J54+J56+J58+J60+J62</f>
        <v>939800</v>
      </c>
      <c r="K53" s="77"/>
      <c r="L53" s="57">
        <f>L54+L56+L58+L60+L62</f>
        <v>939800</v>
      </c>
      <c r="M53" s="77"/>
      <c r="N53" s="57">
        <f>N54+N56+N58+N60+N62</f>
        <v>939800</v>
      </c>
      <c r="O53" s="77"/>
      <c r="P53" s="57">
        <f>P54+P56+P58+P60+P62</f>
        <v>939800</v>
      </c>
      <c r="Q53" s="50"/>
      <c r="R53" s="57">
        <f>R54+R56+R58+R60+R62</f>
        <v>1239800</v>
      </c>
      <c r="S53" s="50"/>
      <c r="T53" s="57">
        <f>T54+T56+T58+T60+T62</f>
        <v>1239800</v>
      </c>
    </row>
    <row r="54" spans="1:20" ht="49.5" customHeight="1">
      <c r="A54" s="44" t="s">
        <v>500</v>
      </c>
      <c r="B54" s="73">
        <v>901</v>
      </c>
      <c r="C54" s="73" t="s">
        <v>430</v>
      </c>
      <c r="D54" s="73" t="s">
        <v>127</v>
      </c>
      <c r="E54" s="73"/>
      <c r="F54" s="57"/>
      <c r="G54" s="73"/>
      <c r="H54" s="57">
        <f>H55</f>
        <v>181000</v>
      </c>
      <c r="I54" s="77"/>
      <c r="J54" s="57">
        <f>J55</f>
        <v>181000</v>
      </c>
      <c r="K54" s="77"/>
      <c r="L54" s="57">
        <f>L55</f>
        <v>181000</v>
      </c>
      <c r="M54" s="77"/>
      <c r="N54" s="57">
        <f>N55</f>
        <v>181000</v>
      </c>
      <c r="O54" s="77"/>
      <c r="P54" s="57">
        <f>P55</f>
        <v>181000</v>
      </c>
      <c r="Q54" s="50"/>
      <c r="R54" s="57">
        <f>R55</f>
        <v>181000</v>
      </c>
      <c r="S54" s="50"/>
      <c r="T54" s="57">
        <f>T55</f>
        <v>181000</v>
      </c>
    </row>
    <row r="55" spans="1:20" ht="33" customHeight="1">
      <c r="A55" s="14" t="s">
        <v>491</v>
      </c>
      <c r="B55" s="73">
        <v>901</v>
      </c>
      <c r="C55" s="73" t="s">
        <v>430</v>
      </c>
      <c r="D55" s="73" t="s">
        <v>127</v>
      </c>
      <c r="E55" s="73" t="s">
        <v>463</v>
      </c>
      <c r="F55" s="57"/>
      <c r="G55" s="73"/>
      <c r="H55" s="57">
        <v>181000</v>
      </c>
      <c r="I55" s="77"/>
      <c r="J55" s="78">
        <f>H55+I55</f>
        <v>181000</v>
      </c>
      <c r="K55" s="77"/>
      <c r="L55" s="78">
        <f>J55+K55</f>
        <v>181000</v>
      </c>
      <c r="M55" s="77"/>
      <c r="N55" s="78">
        <f>L55+M55</f>
        <v>181000</v>
      </c>
      <c r="O55" s="77"/>
      <c r="P55" s="78">
        <f>N55+O55</f>
        <v>181000</v>
      </c>
      <c r="Q55" s="50"/>
      <c r="R55" s="78">
        <f>P55+Q55</f>
        <v>181000</v>
      </c>
      <c r="S55" s="50"/>
      <c r="T55" s="78">
        <f>R55+S55</f>
        <v>181000</v>
      </c>
    </row>
    <row r="56" spans="1:20" ht="34.5" customHeight="1">
      <c r="A56" s="18" t="s">
        <v>128</v>
      </c>
      <c r="B56" s="73">
        <v>901</v>
      </c>
      <c r="C56" s="73" t="s">
        <v>430</v>
      </c>
      <c r="D56" s="73" t="s">
        <v>130</v>
      </c>
      <c r="E56" s="73"/>
      <c r="F56" s="57"/>
      <c r="G56" s="73"/>
      <c r="H56" s="57">
        <f>H57</f>
        <v>48200</v>
      </c>
      <c r="I56" s="77"/>
      <c r="J56" s="57">
        <f>J57</f>
        <v>48200</v>
      </c>
      <c r="K56" s="77"/>
      <c r="L56" s="57">
        <f>L57</f>
        <v>48200</v>
      </c>
      <c r="M56" s="77"/>
      <c r="N56" s="57">
        <f>N57</f>
        <v>48200</v>
      </c>
      <c r="O56" s="77"/>
      <c r="P56" s="57">
        <f>P57</f>
        <v>48200</v>
      </c>
      <c r="Q56" s="50"/>
      <c r="R56" s="57">
        <f>R57</f>
        <v>48200</v>
      </c>
      <c r="S56" s="50"/>
      <c r="T56" s="57">
        <f>T57</f>
        <v>48200</v>
      </c>
    </row>
    <row r="57" spans="1:20" ht="34.5" customHeight="1">
      <c r="A57" s="14" t="s">
        <v>476</v>
      </c>
      <c r="B57" s="73">
        <v>901</v>
      </c>
      <c r="C57" s="73" t="s">
        <v>430</v>
      </c>
      <c r="D57" s="73" t="s">
        <v>130</v>
      </c>
      <c r="E57" s="73" t="s">
        <v>464</v>
      </c>
      <c r="F57" s="57"/>
      <c r="G57" s="73"/>
      <c r="H57" s="57">
        <v>48200</v>
      </c>
      <c r="I57" s="77"/>
      <c r="J57" s="78">
        <f>H57+I57</f>
        <v>48200</v>
      </c>
      <c r="K57" s="77"/>
      <c r="L57" s="78">
        <f>J57+K57</f>
        <v>48200</v>
      </c>
      <c r="M57" s="77"/>
      <c r="N57" s="78">
        <f>L57+M57</f>
        <v>48200</v>
      </c>
      <c r="O57" s="77"/>
      <c r="P57" s="78">
        <f>N57+O57</f>
        <v>48200</v>
      </c>
      <c r="Q57" s="50"/>
      <c r="R57" s="78">
        <f>P57+Q57</f>
        <v>48200</v>
      </c>
      <c r="S57" s="50"/>
      <c r="T57" s="78">
        <f>R57+S57</f>
        <v>48200</v>
      </c>
    </row>
    <row r="58" spans="1:20" ht="113.25" customHeight="1">
      <c r="A58" s="22" t="s">
        <v>129</v>
      </c>
      <c r="B58" s="73">
        <v>901</v>
      </c>
      <c r="C58" s="73" t="s">
        <v>430</v>
      </c>
      <c r="D58" s="73" t="s">
        <v>131</v>
      </c>
      <c r="E58" s="73"/>
      <c r="F58" s="57"/>
      <c r="G58" s="73"/>
      <c r="H58" s="57">
        <f>H59</f>
        <v>623000</v>
      </c>
      <c r="I58" s="77"/>
      <c r="J58" s="57">
        <f>J59</f>
        <v>623000</v>
      </c>
      <c r="K58" s="77"/>
      <c r="L58" s="57">
        <f>L59</f>
        <v>623000</v>
      </c>
      <c r="M58" s="77"/>
      <c r="N58" s="57">
        <f>N59</f>
        <v>623000</v>
      </c>
      <c r="O58" s="77"/>
      <c r="P58" s="57">
        <f>P59</f>
        <v>623000</v>
      </c>
      <c r="Q58" s="50"/>
      <c r="R58" s="57">
        <f>R59</f>
        <v>923000</v>
      </c>
      <c r="S58" s="50"/>
      <c r="T58" s="57">
        <f>T59</f>
        <v>923000</v>
      </c>
    </row>
    <row r="59" spans="1:20" ht="36.75" customHeight="1">
      <c r="A59" s="14" t="s">
        <v>491</v>
      </c>
      <c r="B59" s="73">
        <v>901</v>
      </c>
      <c r="C59" s="73" t="s">
        <v>430</v>
      </c>
      <c r="D59" s="73" t="s">
        <v>131</v>
      </c>
      <c r="E59" s="73" t="s">
        <v>463</v>
      </c>
      <c r="F59" s="57"/>
      <c r="G59" s="73"/>
      <c r="H59" s="57">
        <v>623000</v>
      </c>
      <c r="I59" s="77"/>
      <c r="J59" s="78">
        <f>H59+I59</f>
        <v>623000</v>
      </c>
      <c r="K59" s="77"/>
      <c r="L59" s="78">
        <f>J59+K59</f>
        <v>623000</v>
      </c>
      <c r="M59" s="77"/>
      <c r="N59" s="78">
        <f>L59+M59</f>
        <v>623000</v>
      </c>
      <c r="O59" s="77"/>
      <c r="P59" s="78">
        <f>N59+O59</f>
        <v>623000</v>
      </c>
      <c r="Q59" s="50">
        <f>300000</f>
        <v>300000</v>
      </c>
      <c r="R59" s="78">
        <f>P59+Q59</f>
        <v>923000</v>
      </c>
      <c r="S59" s="50"/>
      <c r="T59" s="78">
        <f>R59+S59</f>
        <v>923000</v>
      </c>
    </row>
    <row r="60" spans="1:20" ht="120.75" customHeight="1">
      <c r="A60" s="14" t="s">
        <v>452</v>
      </c>
      <c r="B60" s="73">
        <v>901</v>
      </c>
      <c r="C60" s="73" t="s">
        <v>430</v>
      </c>
      <c r="D60" s="73" t="s">
        <v>133</v>
      </c>
      <c r="E60" s="73"/>
      <c r="F60" s="79" t="e">
        <f>#REF!+F61</f>
        <v>#REF!</v>
      </c>
      <c r="G60" s="80"/>
      <c r="H60" s="79">
        <f>H61</f>
        <v>100</v>
      </c>
      <c r="I60" s="77"/>
      <c r="J60" s="79">
        <f>J61</f>
        <v>100</v>
      </c>
      <c r="K60" s="77"/>
      <c r="L60" s="79">
        <f>L61</f>
        <v>100</v>
      </c>
      <c r="M60" s="77"/>
      <c r="N60" s="79">
        <f>N61</f>
        <v>100</v>
      </c>
      <c r="O60" s="77"/>
      <c r="P60" s="79">
        <f>P61</f>
        <v>100</v>
      </c>
      <c r="Q60" s="50"/>
      <c r="R60" s="79">
        <f>R61</f>
        <v>100</v>
      </c>
      <c r="S60" s="50"/>
      <c r="T60" s="79">
        <f>T61</f>
        <v>100</v>
      </c>
    </row>
    <row r="61" spans="1:20" ht="40.5" customHeight="1">
      <c r="A61" s="14" t="s">
        <v>491</v>
      </c>
      <c r="B61" s="73">
        <v>901</v>
      </c>
      <c r="C61" s="73" t="s">
        <v>430</v>
      </c>
      <c r="D61" s="73" t="s">
        <v>133</v>
      </c>
      <c r="E61" s="73" t="s">
        <v>463</v>
      </c>
      <c r="F61" s="79">
        <v>0</v>
      </c>
      <c r="G61" s="81">
        <v>100</v>
      </c>
      <c r="H61" s="79">
        <f>F61+G61</f>
        <v>100</v>
      </c>
      <c r="I61" s="77"/>
      <c r="J61" s="78">
        <f>H61+I61</f>
        <v>100</v>
      </c>
      <c r="K61" s="77"/>
      <c r="L61" s="78">
        <f>J61+K61</f>
        <v>100</v>
      </c>
      <c r="M61" s="77"/>
      <c r="N61" s="78">
        <f>L61+M61</f>
        <v>100</v>
      </c>
      <c r="O61" s="77"/>
      <c r="P61" s="78">
        <f>N61+O61</f>
        <v>100</v>
      </c>
      <c r="Q61" s="50"/>
      <c r="R61" s="78">
        <f>P61+Q61</f>
        <v>100</v>
      </c>
      <c r="S61" s="50"/>
      <c r="T61" s="78">
        <f>R61+S61</f>
        <v>100</v>
      </c>
    </row>
    <row r="62" spans="1:20" ht="52.5" customHeight="1">
      <c r="A62" s="14" t="s">
        <v>132</v>
      </c>
      <c r="B62" s="73">
        <v>901</v>
      </c>
      <c r="C62" s="73" t="s">
        <v>430</v>
      </c>
      <c r="D62" s="73" t="s">
        <v>255</v>
      </c>
      <c r="E62" s="73"/>
      <c r="F62" s="79">
        <f>F64</f>
        <v>0</v>
      </c>
      <c r="G62" s="81"/>
      <c r="H62" s="79">
        <f>H63+H64</f>
        <v>87500</v>
      </c>
      <c r="I62" s="77"/>
      <c r="J62" s="79">
        <f>J63+J64</f>
        <v>87500</v>
      </c>
      <c r="K62" s="77"/>
      <c r="L62" s="79">
        <f>L63+L64</f>
        <v>87500</v>
      </c>
      <c r="M62" s="77"/>
      <c r="N62" s="79">
        <f>N63+N64</f>
        <v>87500</v>
      </c>
      <c r="O62" s="77"/>
      <c r="P62" s="79">
        <f>P63+P64</f>
        <v>87500</v>
      </c>
      <c r="Q62" s="50"/>
      <c r="R62" s="79">
        <f>R63+R64</f>
        <v>87500</v>
      </c>
      <c r="S62" s="50"/>
      <c r="T62" s="79">
        <f>T63+T64</f>
        <v>87500</v>
      </c>
    </row>
    <row r="63" spans="1:20" ht="30.75" customHeight="1">
      <c r="A63" s="14" t="s">
        <v>465</v>
      </c>
      <c r="B63" s="73">
        <v>901</v>
      </c>
      <c r="C63" s="73" t="s">
        <v>430</v>
      </c>
      <c r="D63" s="73" t="s">
        <v>255</v>
      </c>
      <c r="E63" s="73" t="s">
        <v>460</v>
      </c>
      <c r="F63" s="79"/>
      <c r="G63" s="81">
        <v>14749</v>
      </c>
      <c r="H63" s="79">
        <v>84212</v>
      </c>
      <c r="I63" s="77"/>
      <c r="J63" s="78">
        <f>H63+I63</f>
        <v>84212</v>
      </c>
      <c r="K63" s="77"/>
      <c r="L63" s="78">
        <f>J63+K63</f>
        <v>84212</v>
      </c>
      <c r="M63" s="77"/>
      <c r="N63" s="78">
        <f>L63+M63</f>
        <v>84212</v>
      </c>
      <c r="O63" s="77"/>
      <c r="P63" s="78">
        <f>N63+O63</f>
        <v>84212</v>
      </c>
      <c r="Q63" s="50"/>
      <c r="R63" s="78">
        <f>P63+Q63</f>
        <v>84212</v>
      </c>
      <c r="S63" s="50"/>
      <c r="T63" s="78">
        <f>R63+S63</f>
        <v>84212</v>
      </c>
    </row>
    <row r="64" spans="1:20" ht="38.25" customHeight="1">
      <c r="A64" s="14" t="s">
        <v>491</v>
      </c>
      <c r="B64" s="73">
        <v>901</v>
      </c>
      <c r="C64" s="73" t="s">
        <v>430</v>
      </c>
      <c r="D64" s="73" t="s">
        <v>255</v>
      </c>
      <c r="E64" s="73" t="s">
        <v>463</v>
      </c>
      <c r="F64" s="79">
        <v>0</v>
      </c>
      <c r="G64" s="81">
        <v>68651</v>
      </c>
      <c r="H64" s="79">
        <v>3288</v>
      </c>
      <c r="I64" s="77"/>
      <c r="J64" s="78">
        <f>H64+I64</f>
        <v>3288</v>
      </c>
      <c r="K64" s="77"/>
      <c r="L64" s="78">
        <f>J64+K64</f>
        <v>3288</v>
      </c>
      <c r="M64" s="77"/>
      <c r="N64" s="78">
        <f>L64+M64</f>
        <v>3288</v>
      </c>
      <c r="O64" s="77"/>
      <c r="P64" s="78">
        <f>N64+O64</f>
        <v>3288</v>
      </c>
      <c r="Q64" s="50"/>
      <c r="R64" s="78">
        <f>P64+Q64</f>
        <v>3288</v>
      </c>
      <c r="S64" s="50"/>
      <c r="T64" s="78">
        <f>R64+S64</f>
        <v>3288</v>
      </c>
    </row>
    <row r="65" spans="1:20" ht="96" customHeight="1">
      <c r="A65" s="14" t="s">
        <v>134</v>
      </c>
      <c r="B65" s="73">
        <v>901</v>
      </c>
      <c r="C65" s="73" t="s">
        <v>430</v>
      </c>
      <c r="D65" s="73" t="s">
        <v>136</v>
      </c>
      <c r="E65" s="73"/>
      <c r="F65" s="79">
        <v>0</v>
      </c>
      <c r="G65" s="80">
        <v>0</v>
      </c>
      <c r="H65" s="79">
        <f>H66</f>
        <v>193000</v>
      </c>
      <c r="I65" s="77"/>
      <c r="J65" s="79">
        <f>J66</f>
        <v>193000</v>
      </c>
      <c r="K65" s="77"/>
      <c r="L65" s="79">
        <f>L66</f>
        <v>193000</v>
      </c>
      <c r="M65" s="77"/>
      <c r="N65" s="79">
        <f>N66</f>
        <v>193000</v>
      </c>
      <c r="O65" s="77"/>
      <c r="P65" s="79">
        <f>P66</f>
        <v>193000</v>
      </c>
      <c r="Q65" s="50"/>
      <c r="R65" s="79">
        <f>R66</f>
        <v>193000</v>
      </c>
      <c r="S65" s="50"/>
      <c r="T65" s="79">
        <f>T66</f>
        <v>193000</v>
      </c>
    </row>
    <row r="66" spans="1:20" ht="98.25" customHeight="1">
      <c r="A66" s="23" t="s">
        <v>135</v>
      </c>
      <c r="B66" s="73">
        <v>901</v>
      </c>
      <c r="C66" s="73" t="s">
        <v>430</v>
      </c>
      <c r="D66" s="73" t="s">
        <v>137</v>
      </c>
      <c r="E66" s="73"/>
      <c r="F66" s="79">
        <f>F67+F68</f>
        <v>0</v>
      </c>
      <c r="G66" s="80"/>
      <c r="H66" s="79">
        <f>H67+H68</f>
        <v>193000</v>
      </c>
      <c r="I66" s="77"/>
      <c r="J66" s="79">
        <f>J67+J68</f>
        <v>193000</v>
      </c>
      <c r="K66" s="77"/>
      <c r="L66" s="79">
        <f>L67+L68</f>
        <v>193000</v>
      </c>
      <c r="M66" s="77"/>
      <c r="N66" s="79">
        <f>N67+N68</f>
        <v>193000</v>
      </c>
      <c r="O66" s="77"/>
      <c r="P66" s="79">
        <f>P67+P68</f>
        <v>193000</v>
      </c>
      <c r="Q66" s="50"/>
      <c r="R66" s="79">
        <f>R67+R68</f>
        <v>193000</v>
      </c>
      <c r="S66" s="50"/>
      <c r="T66" s="79">
        <f>T67+T68</f>
        <v>193000</v>
      </c>
    </row>
    <row r="67" spans="1:20" ht="60" customHeight="1">
      <c r="A67" s="14" t="s">
        <v>467</v>
      </c>
      <c r="B67" s="73">
        <v>901</v>
      </c>
      <c r="C67" s="73" t="s">
        <v>430</v>
      </c>
      <c r="D67" s="83" t="s">
        <v>137</v>
      </c>
      <c r="E67" s="83" t="s">
        <v>462</v>
      </c>
      <c r="F67" s="79">
        <v>0</v>
      </c>
      <c r="G67" s="80">
        <v>23624</v>
      </c>
      <c r="H67" s="79">
        <v>33000</v>
      </c>
      <c r="I67" s="77"/>
      <c r="J67" s="78">
        <f>H67+I67</f>
        <v>33000</v>
      </c>
      <c r="K67" s="77"/>
      <c r="L67" s="78">
        <f>J67+K67</f>
        <v>33000</v>
      </c>
      <c r="M67" s="77">
        <v>3200</v>
      </c>
      <c r="N67" s="78">
        <f>L67+M67</f>
        <v>36200</v>
      </c>
      <c r="O67" s="77"/>
      <c r="P67" s="78">
        <f>N67+O67</f>
        <v>36200</v>
      </c>
      <c r="Q67" s="50"/>
      <c r="R67" s="78">
        <f>P67+Q67</f>
        <v>36200</v>
      </c>
      <c r="S67" s="50">
        <f>1090+6585</f>
        <v>7675</v>
      </c>
      <c r="T67" s="78">
        <f>R67+S67</f>
        <v>43875</v>
      </c>
    </row>
    <row r="68" spans="1:20" ht="40.5" customHeight="1">
      <c r="A68" s="14" t="s">
        <v>491</v>
      </c>
      <c r="B68" s="73">
        <v>901</v>
      </c>
      <c r="C68" s="73" t="s">
        <v>430</v>
      </c>
      <c r="D68" s="83" t="s">
        <v>137</v>
      </c>
      <c r="E68" s="83" t="s">
        <v>463</v>
      </c>
      <c r="F68" s="79">
        <v>0</v>
      </c>
      <c r="G68" s="80">
        <v>168376</v>
      </c>
      <c r="H68" s="79">
        <v>160000</v>
      </c>
      <c r="I68" s="77"/>
      <c r="J68" s="78">
        <f>H68+I68</f>
        <v>160000</v>
      </c>
      <c r="K68" s="77"/>
      <c r="L68" s="78">
        <f>J68+K68</f>
        <v>160000</v>
      </c>
      <c r="M68" s="77">
        <v>-3200</v>
      </c>
      <c r="N68" s="78">
        <f>L68+M68</f>
        <v>156800</v>
      </c>
      <c r="O68" s="77"/>
      <c r="P68" s="78">
        <f>N68+O68</f>
        <v>156800</v>
      </c>
      <c r="Q68" s="50"/>
      <c r="R68" s="78">
        <f>P68+Q68</f>
        <v>156800</v>
      </c>
      <c r="S68" s="50">
        <f>-21988.73+12240+2073.73</f>
        <v>-7675</v>
      </c>
      <c r="T68" s="78">
        <f>R68+S68</f>
        <v>149125</v>
      </c>
    </row>
    <row r="69" spans="1:20" ht="84.75" customHeight="1">
      <c r="A69" s="14" t="s">
        <v>138</v>
      </c>
      <c r="B69" s="73">
        <v>901</v>
      </c>
      <c r="C69" s="73" t="s">
        <v>430</v>
      </c>
      <c r="D69" s="73" t="s">
        <v>140</v>
      </c>
      <c r="E69" s="73"/>
      <c r="F69" s="79">
        <f>F71+F72+F73+F74</f>
        <v>0</v>
      </c>
      <c r="G69" s="80"/>
      <c r="H69" s="79">
        <f>H70</f>
        <v>10951800</v>
      </c>
      <c r="I69" s="77"/>
      <c r="J69" s="79">
        <f>J70</f>
        <v>10951800</v>
      </c>
      <c r="K69" s="77"/>
      <c r="L69" s="79">
        <f>L70</f>
        <v>10952472.75</v>
      </c>
      <c r="M69" s="77"/>
      <c r="N69" s="79">
        <f>N70</f>
        <v>10952472.75</v>
      </c>
      <c r="O69" s="77"/>
      <c r="P69" s="79">
        <f>P70</f>
        <v>15615468.21</v>
      </c>
      <c r="Q69" s="50"/>
      <c r="R69" s="79">
        <f>R70</f>
        <v>15541981.05</v>
      </c>
      <c r="S69" s="50"/>
      <c r="T69" s="79">
        <f>T70</f>
        <v>15579652.540000001</v>
      </c>
    </row>
    <row r="70" spans="1:20" ht="36.75" customHeight="1">
      <c r="A70" s="14" t="s">
        <v>139</v>
      </c>
      <c r="B70" s="73">
        <v>901</v>
      </c>
      <c r="C70" s="73" t="s">
        <v>430</v>
      </c>
      <c r="D70" s="73" t="s">
        <v>141</v>
      </c>
      <c r="E70" s="73"/>
      <c r="F70" s="79"/>
      <c r="G70" s="80"/>
      <c r="H70" s="79">
        <f>H72+H73+H74+H71</f>
        <v>10951800</v>
      </c>
      <c r="I70" s="77"/>
      <c r="J70" s="79">
        <f>J72+J73+J74+J71</f>
        <v>10951800</v>
      </c>
      <c r="K70" s="77"/>
      <c r="L70" s="79">
        <f>L72+L73+L74+L71</f>
        <v>10952472.75</v>
      </c>
      <c r="M70" s="77"/>
      <c r="N70" s="79">
        <f>N72+N73+N74+N71</f>
        <v>10952472.75</v>
      </c>
      <c r="O70" s="77"/>
      <c r="P70" s="79">
        <f>P72+P73+P74+P71</f>
        <v>15615468.21</v>
      </c>
      <c r="Q70" s="108"/>
      <c r="R70" s="79">
        <f>R72+R73+R74+R71</f>
        <v>15541981.05</v>
      </c>
      <c r="S70" s="50"/>
      <c r="T70" s="79">
        <f>T72+T73+T74+T71</f>
        <v>15579652.540000001</v>
      </c>
    </row>
    <row r="71" spans="1:20" ht="26.25" customHeight="1">
      <c r="A71" s="14" t="s">
        <v>465</v>
      </c>
      <c r="B71" s="73">
        <v>901</v>
      </c>
      <c r="C71" s="73" t="s">
        <v>430</v>
      </c>
      <c r="D71" s="73" t="s">
        <v>142</v>
      </c>
      <c r="E71" s="73" t="s">
        <v>460</v>
      </c>
      <c r="F71" s="57">
        <v>0</v>
      </c>
      <c r="G71" s="84">
        <v>12322429</v>
      </c>
      <c r="H71" s="57">
        <v>10032374</v>
      </c>
      <c r="I71" s="77">
        <v>-690</v>
      </c>
      <c r="J71" s="78">
        <f>H71+I71</f>
        <v>10031684</v>
      </c>
      <c r="K71" s="77"/>
      <c r="L71" s="78">
        <f>J71+K71</f>
        <v>10031684</v>
      </c>
      <c r="M71" s="77"/>
      <c r="N71" s="78">
        <f>L71+M71</f>
        <v>10031684</v>
      </c>
      <c r="O71" s="77">
        <v>1608560.26</v>
      </c>
      <c r="P71" s="78">
        <f>N71+O71</f>
        <v>11640244.26</v>
      </c>
      <c r="Q71" s="50"/>
      <c r="R71" s="78">
        <f>P71+Q71</f>
        <v>11640244.26</v>
      </c>
      <c r="S71" s="50">
        <f>437.97+126.83</f>
        <v>564.8000000000001</v>
      </c>
      <c r="T71" s="78">
        <f>R71+S71</f>
        <v>11640809.06</v>
      </c>
    </row>
    <row r="72" spans="1:20" ht="36.75" customHeight="1">
      <c r="A72" s="14" t="s">
        <v>466</v>
      </c>
      <c r="B72" s="73">
        <v>901</v>
      </c>
      <c r="C72" s="73" t="s">
        <v>430</v>
      </c>
      <c r="D72" s="73" t="s">
        <v>142</v>
      </c>
      <c r="E72" s="73" t="s">
        <v>461</v>
      </c>
      <c r="F72" s="57">
        <v>0</v>
      </c>
      <c r="G72" s="73" t="s">
        <v>523</v>
      </c>
      <c r="H72" s="57">
        <v>1380</v>
      </c>
      <c r="I72" s="77">
        <v>690</v>
      </c>
      <c r="J72" s="78">
        <f>H72+I72</f>
        <v>2070</v>
      </c>
      <c r="K72" s="77">
        <v>672.75</v>
      </c>
      <c r="L72" s="78">
        <f>J72+K72</f>
        <v>2742.75</v>
      </c>
      <c r="M72" s="77"/>
      <c r="N72" s="78">
        <f>L72+M72</f>
        <v>2742.75</v>
      </c>
      <c r="O72" s="77">
        <v>18440.86</v>
      </c>
      <c r="P72" s="78">
        <f>N72+O72</f>
        <v>21183.61</v>
      </c>
      <c r="Q72" s="50">
        <v>200</v>
      </c>
      <c r="R72" s="78">
        <f>P72+Q72</f>
        <v>21383.61</v>
      </c>
      <c r="S72" s="50"/>
      <c r="T72" s="78">
        <f>R72+S72</f>
        <v>21383.61</v>
      </c>
    </row>
    <row r="73" spans="1:20" ht="52.5" customHeight="1">
      <c r="A73" s="14" t="s">
        <v>467</v>
      </c>
      <c r="B73" s="73">
        <v>901</v>
      </c>
      <c r="C73" s="73" t="s">
        <v>430</v>
      </c>
      <c r="D73" s="73" t="s">
        <v>142</v>
      </c>
      <c r="E73" s="73" t="s">
        <v>462</v>
      </c>
      <c r="F73" s="57">
        <v>0</v>
      </c>
      <c r="G73" s="84">
        <v>747684</v>
      </c>
      <c r="H73" s="57">
        <v>667639</v>
      </c>
      <c r="I73" s="77">
        <v>14756</v>
      </c>
      <c r="J73" s="78">
        <f>H73+I73</f>
        <v>682395</v>
      </c>
      <c r="K73" s="77"/>
      <c r="L73" s="78">
        <f>J73+K73</f>
        <v>682395</v>
      </c>
      <c r="M73" s="77"/>
      <c r="N73" s="78">
        <f>L73+M73</f>
        <v>682395</v>
      </c>
      <c r="O73" s="77">
        <v>267233.35</v>
      </c>
      <c r="P73" s="78">
        <f>N73+O73</f>
        <v>949628.35</v>
      </c>
      <c r="Q73" s="50">
        <f>-1320.89</f>
        <v>-1320.89</v>
      </c>
      <c r="R73" s="78">
        <f>P73+Q73</f>
        <v>948307.46</v>
      </c>
      <c r="S73" s="50">
        <f>160.85</f>
        <v>160.85</v>
      </c>
      <c r="T73" s="78">
        <f>R73+S73</f>
        <v>948468.3099999999</v>
      </c>
    </row>
    <row r="74" spans="1:20" ht="33" customHeight="1">
      <c r="A74" s="14" t="s">
        <v>491</v>
      </c>
      <c r="B74" s="73">
        <v>901</v>
      </c>
      <c r="C74" s="73" t="s">
        <v>430</v>
      </c>
      <c r="D74" s="73" t="s">
        <v>142</v>
      </c>
      <c r="E74" s="73" t="s">
        <v>463</v>
      </c>
      <c r="F74" s="57">
        <v>0</v>
      </c>
      <c r="G74" s="84">
        <v>773887</v>
      </c>
      <c r="H74" s="57">
        <v>250407</v>
      </c>
      <c r="I74" s="77">
        <v>-14756</v>
      </c>
      <c r="J74" s="78">
        <f>H74+I74</f>
        <v>235651</v>
      </c>
      <c r="K74" s="77"/>
      <c r="L74" s="78">
        <f>J74+K74</f>
        <v>235651</v>
      </c>
      <c r="M74" s="77"/>
      <c r="N74" s="78">
        <f>L74+M74</f>
        <v>235651</v>
      </c>
      <c r="O74" s="77">
        <v>2768760.99</v>
      </c>
      <c r="P74" s="78">
        <f>N74+O74</f>
        <v>3004411.99</v>
      </c>
      <c r="Q74" s="50">
        <f>-6388.22-9887.5-41255.22-12259.76-2575.57</f>
        <v>-72366.27</v>
      </c>
      <c r="R74" s="78">
        <f>P74+Q74</f>
        <v>2932045.72</v>
      </c>
      <c r="S74" s="50">
        <f>1320.78+14518.62+25680-4573.56</f>
        <v>36945.840000000004</v>
      </c>
      <c r="T74" s="78">
        <f>R74+S74</f>
        <v>2968991.56</v>
      </c>
    </row>
    <row r="75" spans="1:20" ht="98.25" customHeight="1">
      <c r="A75" s="24" t="s">
        <v>537</v>
      </c>
      <c r="B75" s="73" t="s">
        <v>368</v>
      </c>
      <c r="C75" s="73" t="s">
        <v>430</v>
      </c>
      <c r="D75" s="73" t="s">
        <v>348</v>
      </c>
      <c r="E75" s="73"/>
      <c r="F75" s="57" t="e">
        <f>#REF!+#REF!+F76</f>
        <v>#REF!</v>
      </c>
      <c r="G75" s="73"/>
      <c r="H75" s="57">
        <f>H76</f>
        <v>3500000</v>
      </c>
      <c r="I75" s="77"/>
      <c r="J75" s="57">
        <f>J76</f>
        <v>3620000</v>
      </c>
      <c r="K75" s="77"/>
      <c r="L75" s="57">
        <f>L76</f>
        <v>3619327.25</v>
      </c>
      <c r="M75" s="77"/>
      <c r="N75" s="57">
        <f>N76</f>
        <v>3779327.25</v>
      </c>
      <c r="O75" s="77"/>
      <c r="P75" s="57">
        <f>P76</f>
        <v>3510443.25</v>
      </c>
      <c r="Q75" s="50"/>
      <c r="R75" s="57">
        <f>R76</f>
        <v>3510443.25</v>
      </c>
      <c r="S75" s="50"/>
      <c r="T75" s="57">
        <f>T76</f>
        <v>3510443.25</v>
      </c>
    </row>
    <row r="76" spans="1:20" ht="39.75" customHeight="1">
      <c r="A76" s="24" t="s">
        <v>572</v>
      </c>
      <c r="B76" s="73" t="s">
        <v>368</v>
      </c>
      <c r="C76" s="73" t="s">
        <v>430</v>
      </c>
      <c r="D76" s="73" t="s">
        <v>577</v>
      </c>
      <c r="E76" s="73"/>
      <c r="F76" s="57" t="e">
        <f>F77+#REF!</f>
        <v>#REF!</v>
      </c>
      <c r="G76" s="73"/>
      <c r="H76" s="57">
        <f>H77</f>
        <v>3500000</v>
      </c>
      <c r="I76" s="77"/>
      <c r="J76" s="57">
        <f>J77</f>
        <v>3620000</v>
      </c>
      <c r="K76" s="77"/>
      <c r="L76" s="57">
        <f>L77</f>
        <v>3619327.25</v>
      </c>
      <c r="M76" s="77"/>
      <c r="N76" s="57">
        <f>N77</f>
        <v>3779327.25</v>
      </c>
      <c r="O76" s="77"/>
      <c r="P76" s="57">
        <f>P77</f>
        <v>3510443.25</v>
      </c>
      <c r="Q76" s="108"/>
      <c r="R76" s="57">
        <f>R77</f>
        <v>3510443.25</v>
      </c>
      <c r="S76" s="50"/>
      <c r="T76" s="57">
        <f>T77</f>
        <v>3510443.25</v>
      </c>
    </row>
    <row r="77" spans="1:20" ht="24" customHeight="1">
      <c r="A77" s="24" t="s">
        <v>578</v>
      </c>
      <c r="B77" s="73" t="s">
        <v>368</v>
      </c>
      <c r="C77" s="73" t="s">
        <v>430</v>
      </c>
      <c r="D77" s="73" t="s">
        <v>579</v>
      </c>
      <c r="E77" s="73"/>
      <c r="F77" s="57">
        <v>0</v>
      </c>
      <c r="G77" s="73"/>
      <c r="H77" s="57">
        <f>H78+H79+H80+H81</f>
        <v>3500000</v>
      </c>
      <c r="I77" s="77"/>
      <c r="J77" s="57">
        <f>J78+J79+J80+J81</f>
        <v>3620000</v>
      </c>
      <c r="K77" s="77"/>
      <c r="L77" s="57">
        <f>L78+L79+L80+L81</f>
        <v>3619327.25</v>
      </c>
      <c r="M77" s="77"/>
      <c r="N77" s="57">
        <f>N78+N79+N80+N81</f>
        <v>3779327.25</v>
      </c>
      <c r="O77" s="77"/>
      <c r="P77" s="57">
        <f>P78+P79+P80+P81</f>
        <v>3510443.25</v>
      </c>
      <c r="Q77" s="50"/>
      <c r="R77" s="57">
        <f>R78+R79+R80+R81</f>
        <v>3510443.25</v>
      </c>
      <c r="S77" s="50"/>
      <c r="T77" s="57">
        <f>T78+T79+T80+T81</f>
        <v>3510443.25</v>
      </c>
    </row>
    <row r="78" spans="1:20" ht="27.75" customHeight="1">
      <c r="A78" s="14" t="s">
        <v>465</v>
      </c>
      <c r="B78" s="73" t="s">
        <v>368</v>
      </c>
      <c r="C78" s="73" t="s">
        <v>430</v>
      </c>
      <c r="D78" s="73" t="s">
        <v>579</v>
      </c>
      <c r="E78" s="73" t="s">
        <v>460</v>
      </c>
      <c r="F78" s="57"/>
      <c r="G78" s="73"/>
      <c r="H78" s="57">
        <v>2929865</v>
      </c>
      <c r="I78" s="77"/>
      <c r="J78" s="78">
        <f>H78+I78</f>
        <v>2929865</v>
      </c>
      <c r="K78" s="77"/>
      <c r="L78" s="78">
        <f>J78+K78</f>
        <v>2929865</v>
      </c>
      <c r="M78" s="77"/>
      <c r="N78" s="78">
        <f>L78+M78</f>
        <v>2929865</v>
      </c>
      <c r="O78" s="77">
        <v>-126380</v>
      </c>
      <c r="P78" s="78">
        <f>N78+O78</f>
        <v>2803485</v>
      </c>
      <c r="Q78" s="50"/>
      <c r="R78" s="78">
        <f>P78+Q78</f>
        <v>2803485</v>
      </c>
      <c r="S78" s="50"/>
      <c r="T78" s="78">
        <f>R78+S78</f>
        <v>2803485</v>
      </c>
    </row>
    <row r="79" spans="1:20" ht="36" customHeight="1">
      <c r="A79" s="14" t="s">
        <v>466</v>
      </c>
      <c r="B79" s="73" t="s">
        <v>368</v>
      </c>
      <c r="C79" s="73" t="s">
        <v>430</v>
      </c>
      <c r="D79" s="73" t="s">
        <v>579</v>
      </c>
      <c r="E79" s="73" t="s">
        <v>461</v>
      </c>
      <c r="F79" s="57"/>
      <c r="G79" s="73"/>
      <c r="H79" s="57">
        <v>24000</v>
      </c>
      <c r="I79" s="77"/>
      <c r="J79" s="78">
        <f>H79+I79</f>
        <v>24000</v>
      </c>
      <c r="K79" s="77">
        <v>10000</v>
      </c>
      <c r="L79" s="78">
        <f>J79+K79</f>
        <v>34000</v>
      </c>
      <c r="M79" s="77"/>
      <c r="N79" s="78">
        <f>L79+M79</f>
        <v>34000</v>
      </c>
      <c r="O79" s="77">
        <v>-5000</v>
      </c>
      <c r="P79" s="78">
        <f>N79+O79</f>
        <v>29000</v>
      </c>
      <c r="Q79" s="50"/>
      <c r="R79" s="78">
        <f>P79+Q79</f>
        <v>29000</v>
      </c>
      <c r="S79" s="50"/>
      <c r="T79" s="78">
        <f>R79+S79</f>
        <v>29000</v>
      </c>
    </row>
    <row r="80" spans="1:20" ht="36" customHeight="1">
      <c r="A80" s="14" t="s">
        <v>467</v>
      </c>
      <c r="B80" s="73" t="s">
        <v>368</v>
      </c>
      <c r="C80" s="73" t="s">
        <v>430</v>
      </c>
      <c r="D80" s="73" t="s">
        <v>579</v>
      </c>
      <c r="E80" s="73" t="s">
        <v>462</v>
      </c>
      <c r="F80" s="57"/>
      <c r="G80" s="73"/>
      <c r="H80" s="57">
        <v>198353</v>
      </c>
      <c r="I80" s="77"/>
      <c r="J80" s="78">
        <f>H80+I80</f>
        <v>198353</v>
      </c>
      <c r="K80" s="77">
        <v>-10000</v>
      </c>
      <c r="L80" s="78">
        <f>J80+K80</f>
        <v>188353</v>
      </c>
      <c r="M80" s="77"/>
      <c r="N80" s="78">
        <f>L80+M80</f>
        <v>188353</v>
      </c>
      <c r="O80" s="77"/>
      <c r="P80" s="78">
        <f>N80+O80</f>
        <v>188353</v>
      </c>
      <c r="Q80" s="50"/>
      <c r="R80" s="78">
        <f>P80+Q80</f>
        <v>188353</v>
      </c>
      <c r="S80" s="50"/>
      <c r="T80" s="78">
        <f>R80+S80</f>
        <v>188353</v>
      </c>
    </row>
    <row r="81" spans="1:20" ht="36.75" customHeight="1">
      <c r="A81" s="14" t="s">
        <v>491</v>
      </c>
      <c r="B81" s="73" t="s">
        <v>368</v>
      </c>
      <c r="C81" s="73" t="s">
        <v>430</v>
      </c>
      <c r="D81" s="73" t="s">
        <v>579</v>
      </c>
      <c r="E81" s="73" t="s">
        <v>463</v>
      </c>
      <c r="F81" s="57"/>
      <c r="G81" s="73"/>
      <c r="H81" s="57">
        <v>347782</v>
      </c>
      <c r="I81" s="77">
        <v>120000</v>
      </c>
      <c r="J81" s="78">
        <f>H81+I81</f>
        <v>467782</v>
      </c>
      <c r="K81" s="77">
        <v>-672.75</v>
      </c>
      <c r="L81" s="78">
        <f>J81+K81</f>
        <v>467109.25</v>
      </c>
      <c r="M81" s="77">
        <v>160000</v>
      </c>
      <c r="N81" s="78">
        <f>L81+M81</f>
        <v>627109.25</v>
      </c>
      <c r="O81" s="77">
        <v>-137504</v>
      </c>
      <c r="P81" s="78">
        <f>N81+O81</f>
        <v>489605.25</v>
      </c>
      <c r="Q81" s="50"/>
      <c r="R81" s="78">
        <f>P81+Q81</f>
        <v>489605.25</v>
      </c>
      <c r="S81" s="50"/>
      <c r="T81" s="78">
        <f>R81+S81</f>
        <v>489605.25</v>
      </c>
    </row>
    <row r="82" spans="1:20" ht="24.75" customHeight="1">
      <c r="A82" s="19" t="s">
        <v>117</v>
      </c>
      <c r="B82" s="73" t="s">
        <v>368</v>
      </c>
      <c r="C82" s="73" t="s">
        <v>430</v>
      </c>
      <c r="D82" s="73" t="s">
        <v>119</v>
      </c>
      <c r="E82" s="73"/>
      <c r="F82" s="57"/>
      <c r="G82" s="73"/>
      <c r="H82" s="57"/>
      <c r="I82" s="77"/>
      <c r="J82" s="78">
        <f>J84</f>
        <v>100</v>
      </c>
      <c r="K82" s="77"/>
      <c r="L82" s="78">
        <f>L84</f>
        <v>100</v>
      </c>
      <c r="M82" s="77"/>
      <c r="N82" s="78">
        <f>N84</f>
        <v>100</v>
      </c>
      <c r="O82" s="77"/>
      <c r="P82" s="78">
        <f>P84</f>
        <v>100</v>
      </c>
      <c r="Q82" s="50"/>
      <c r="R82" s="78">
        <f>R84</f>
        <v>100</v>
      </c>
      <c r="S82" s="50"/>
      <c r="T82" s="78">
        <f>T84</f>
        <v>100</v>
      </c>
    </row>
    <row r="83" spans="1:20" ht="178.5" customHeight="1">
      <c r="A83" s="54" t="s">
        <v>284</v>
      </c>
      <c r="B83" s="73" t="s">
        <v>368</v>
      </c>
      <c r="C83" s="73" t="s">
        <v>430</v>
      </c>
      <c r="D83" s="73" t="s">
        <v>280</v>
      </c>
      <c r="E83" s="73"/>
      <c r="F83" s="57"/>
      <c r="G83" s="73"/>
      <c r="H83" s="57"/>
      <c r="I83" s="77"/>
      <c r="J83" s="78">
        <f>J84</f>
        <v>100</v>
      </c>
      <c r="K83" s="77"/>
      <c r="L83" s="78">
        <f>L84</f>
        <v>100</v>
      </c>
      <c r="M83" s="77"/>
      <c r="N83" s="78">
        <f>N84</f>
        <v>100</v>
      </c>
      <c r="O83" s="77"/>
      <c r="P83" s="78">
        <f>P84</f>
        <v>100</v>
      </c>
      <c r="Q83" s="50"/>
      <c r="R83" s="78">
        <f>R84</f>
        <v>100</v>
      </c>
      <c r="S83" s="50"/>
      <c r="T83" s="78">
        <f>T84</f>
        <v>100</v>
      </c>
    </row>
    <row r="84" spans="1:20" ht="36.75" customHeight="1">
      <c r="A84" s="14" t="s">
        <v>491</v>
      </c>
      <c r="B84" s="73" t="s">
        <v>368</v>
      </c>
      <c r="C84" s="73" t="s">
        <v>430</v>
      </c>
      <c r="D84" s="73" t="s">
        <v>280</v>
      </c>
      <c r="E84" s="73" t="s">
        <v>463</v>
      </c>
      <c r="F84" s="57"/>
      <c r="G84" s="73"/>
      <c r="H84" s="57"/>
      <c r="I84" s="81">
        <v>100</v>
      </c>
      <c r="J84" s="78">
        <f>H84+I84</f>
        <v>100</v>
      </c>
      <c r="K84" s="77"/>
      <c r="L84" s="78">
        <f>J84+K84</f>
        <v>100</v>
      </c>
      <c r="M84" s="77"/>
      <c r="N84" s="78">
        <f>L84+M84</f>
        <v>100</v>
      </c>
      <c r="O84" s="77"/>
      <c r="P84" s="78">
        <f>N84+O84</f>
        <v>100</v>
      </c>
      <c r="Q84" s="50"/>
      <c r="R84" s="78">
        <f>P84+Q84</f>
        <v>100</v>
      </c>
      <c r="S84" s="50"/>
      <c r="T84" s="78">
        <f>R84+S84</f>
        <v>100</v>
      </c>
    </row>
    <row r="85" spans="1:20" ht="20.25" customHeight="1">
      <c r="A85" s="12" t="s">
        <v>403</v>
      </c>
      <c r="B85" s="73" t="s">
        <v>368</v>
      </c>
      <c r="C85" s="73" t="s">
        <v>351</v>
      </c>
      <c r="D85" s="73"/>
      <c r="E85" s="73"/>
      <c r="F85" s="57" t="e">
        <f>#REF!</f>
        <v>#REF!</v>
      </c>
      <c r="G85" s="73"/>
      <c r="H85" s="57">
        <f>H86</f>
        <v>1441700</v>
      </c>
      <c r="I85" s="77"/>
      <c r="J85" s="57">
        <f>J86</f>
        <v>1441700</v>
      </c>
      <c r="K85" s="77"/>
      <c r="L85" s="57">
        <f>L86</f>
        <v>1441700</v>
      </c>
      <c r="M85" s="77"/>
      <c r="N85" s="57">
        <f>N86</f>
        <v>1441700</v>
      </c>
      <c r="O85" s="77"/>
      <c r="P85" s="57">
        <f>P86</f>
        <v>1441700</v>
      </c>
      <c r="Q85" s="50"/>
      <c r="R85" s="57">
        <f>R86</f>
        <v>1441700</v>
      </c>
      <c r="S85" s="50"/>
      <c r="T85" s="57">
        <f>T86</f>
        <v>1441700</v>
      </c>
    </row>
    <row r="86" spans="1:20" ht="68.25" customHeight="1">
      <c r="A86" s="69" t="s">
        <v>243</v>
      </c>
      <c r="B86" s="73" t="s">
        <v>368</v>
      </c>
      <c r="C86" s="73" t="s">
        <v>389</v>
      </c>
      <c r="D86" s="85" t="s">
        <v>429</v>
      </c>
      <c r="E86" s="73"/>
      <c r="F86" s="57"/>
      <c r="G86" s="73"/>
      <c r="H86" s="57">
        <f>H87</f>
        <v>1441700</v>
      </c>
      <c r="I86" s="77"/>
      <c r="J86" s="57">
        <f>J87</f>
        <v>1441700</v>
      </c>
      <c r="K86" s="77"/>
      <c r="L86" s="57">
        <f>L87</f>
        <v>1441700</v>
      </c>
      <c r="M86" s="77"/>
      <c r="N86" s="57">
        <f>N87</f>
        <v>1441700</v>
      </c>
      <c r="O86" s="77"/>
      <c r="P86" s="57">
        <f>P87</f>
        <v>1441700</v>
      </c>
      <c r="Q86" s="50"/>
      <c r="R86" s="57">
        <f>R87</f>
        <v>1441700</v>
      </c>
      <c r="S86" s="50"/>
      <c r="T86" s="57">
        <f>T87</f>
        <v>1441700</v>
      </c>
    </row>
    <row r="87" spans="1:20" ht="101.25" customHeight="1">
      <c r="A87" s="14" t="s">
        <v>144</v>
      </c>
      <c r="B87" s="73">
        <v>901</v>
      </c>
      <c r="C87" s="73" t="s">
        <v>389</v>
      </c>
      <c r="D87" s="85" t="s">
        <v>145</v>
      </c>
      <c r="E87" s="73"/>
      <c r="F87" s="79">
        <f>F93+F89+F92+F88</f>
        <v>0</v>
      </c>
      <c r="G87" s="80"/>
      <c r="H87" s="79">
        <f>H93+H89+H92+H88</f>
        <v>1441700</v>
      </c>
      <c r="I87" s="77"/>
      <c r="J87" s="79">
        <f>J93+J89+J92+J88</f>
        <v>1441700</v>
      </c>
      <c r="K87" s="77"/>
      <c r="L87" s="79">
        <f>L93+L89+L92+L88</f>
        <v>1441700</v>
      </c>
      <c r="M87" s="77"/>
      <c r="N87" s="79">
        <f>N93+N89+N92+N88</f>
        <v>1441700</v>
      </c>
      <c r="O87" s="77"/>
      <c r="P87" s="79">
        <f>P93+P89+P92+P88+P90+P91</f>
        <v>1441700</v>
      </c>
      <c r="Q87" s="50"/>
      <c r="R87" s="79">
        <f>R93+R89+R92+R88+R90+R91</f>
        <v>1441700</v>
      </c>
      <c r="S87" s="50"/>
      <c r="T87" s="79">
        <f>T93+T89+T92+T88+T90+T91</f>
        <v>1441700</v>
      </c>
    </row>
    <row r="88" spans="1:20" ht="27" customHeight="1">
      <c r="A88" s="12" t="s">
        <v>465</v>
      </c>
      <c r="B88" s="73">
        <v>901</v>
      </c>
      <c r="C88" s="73" t="s">
        <v>389</v>
      </c>
      <c r="D88" s="73" t="s">
        <v>146</v>
      </c>
      <c r="E88" s="73" t="s">
        <v>460</v>
      </c>
      <c r="F88" s="57">
        <v>0</v>
      </c>
      <c r="G88" s="80">
        <v>1004500</v>
      </c>
      <c r="H88" s="57">
        <v>1048780</v>
      </c>
      <c r="I88" s="77"/>
      <c r="J88" s="78">
        <f>H88+I88</f>
        <v>1048780</v>
      </c>
      <c r="K88" s="77"/>
      <c r="L88" s="78">
        <f>J88+K88</f>
        <v>1048780</v>
      </c>
      <c r="M88" s="77"/>
      <c r="N88" s="78">
        <f>L88+M88</f>
        <v>1048780</v>
      </c>
      <c r="O88" s="77">
        <v>-1048780</v>
      </c>
      <c r="P88" s="78">
        <f aca="true" t="shared" si="7" ref="P88:T93">N88+O88</f>
        <v>0</v>
      </c>
      <c r="Q88" s="50"/>
      <c r="R88" s="78">
        <f t="shared" si="7"/>
        <v>0</v>
      </c>
      <c r="S88" s="50"/>
      <c r="T88" s="78">
        <f t="shared" si="7"/>
        <v>0</v>
      </c>
    </row>
    <row r="89" spans="1:20" ht="36" customHeight="1">
      <c r="A89" s="12" t="s">
        <v>466</v>
      </c>
      <c r="B89" s="73">
        <v>901</v>
      </c>
      <c r="C89" s="73" t="s">
        <v>389</v>
      </c>
      <c r="D89" s="73" t="s">
        <v>146</v>
      </c>
      <c r="E89" s="73" t="s">
        <v>461</v>
      </c>
      <c r="F89" s="57">
        <v>0</v>
      </c>
      <c r="G89" s="80">
        <v>0</v>
      </c>
      <c r="H89" s="57">
        <f>F89+G89</f>
        <v>0</v>
      </c>
      <c r="I89" s="77">
        <v>690</v>
      </c>
      <c r="J89" s="78">
        <f>H89+I89</f>
        <v>690</v>
      </c>
      <c r="K89" s="77"/>
      <c r="L89" s="78">
        <f>J89+K89</f>
        <v>690</v>
      </c>
      <c r="M89" s="77"/>
      <c r="N89" s="78">
        <f>L89+M89</f>
        <v>690</v>
      </c>
      <c r="O89" s="77">
        <v>-690</v>
      </c>
      <c r="P89" s="78">
        <f t="shared" si="7"/>
        <v>0</v>
      </c>
      <c r="Q89" s="50"/>
      <c r="R89" s="78">
        <f t="shared" si="7"/>
        <v>0</v>
      </c>
      <c r="S89" s="50"/>
      <c r="T89" s="78">
        <f t="shared" si="7"/>
        <v>0</v>
      </c>
    </row>
    <row r="90" spans="1:20" ht="36" customHeight="1">
      <c r="A90" s="14" t="s">
        <v>465</v>
      </c>
      <c r="B90" s="73">
        <v>901</v>
      </c>
      <c r="C90" s="73" t="s">
        <v>389</v>
      </c>
      <c r="D90" s="73" t="s">
        <v>146</v>
      </c>
      <c r="E90" s="73" t="s">
        <v>475</v>
      </c>
      <c r="F90" s="57"/>
      <c r="G90" s="80"/>
      <c r="H90" s="57"/>
      <c r="I90" s="77"/>
      <c r="J90" s="78"/>
      <c r="K90" s="77"/>
      <c r="L90" s="78"/>
      <c r="M90" s="77"/>
      <c r="N90" s="78"/>
      <c r="O90" s="77">
        <v>1048780</v>
      </c>
      <c r="P90" s="78">
        <f t="shared" si="7"/>
        <v>1048780</v>
      </c>
      <c r="Q90" s="50"/>
      <c r="R90" s="78">
        <f t="shared" si="7"/>
        <v>1048780</v>
      </c>
      <c r="S90" s="50"/>
      <c r="T90" s="78">
        <f t="shared" si="7"/>
        <v>1048780</v>
      </c>
    </row>
    <row r="91" spans="1:20" ht="36" customHeight="1">
      <c r="A91" s="14" t="s">
        <v>466</v>
      </c>
      <c r="B91" s="73">
        <v>901</v>
      </c>
      <c r="C91" s="73" t="s">
        <v>389</v>
      </c>
      <c r="D91" s="73" t="s">
        <v>146</v>
      </c>
      <c r="E91" s="73" t="s">
        <v>478</v>
      </c>
      <c r="F91" s="57"/>
      <c r="G91" s="80"/>
      <c r="H91" s="57"/>
      <c r="I91" s="77"/>
      <c r="J91" s="78"/>
      <c r="K91" s="77"/>
      <c r="L91" s="78"/>
      <c r="M91" s="77"/>
      <c r="N91" s="78"/>
      <c r="O91" s="77">
        <v>690</v>
      </c>
      <c r="P91" s="78">
        <f t="shared" si="7"/>
        <v>690</v>
      </c>
      <c r="Q91" s="50"/>
      <c r="R91" s="78">
        <f t="shared" si="7"/>
        <v>690</v>
      </c>
      <c r="S91" s="50"/>
      <c r="T91" s="78">
        <f t="shared" si="7"/>
        <v>690</v>
      </c>
    </row>
    <row r="92" spans="1:20" ht="33.75" customHeight="1">
      <c r="A92" s="12" t="s">
        <v>467</v>
      </c>
      <c r="B92" s="73">
        <v>901</v>
      </c>
      <c r="C92" s="73" t="s">
        <v>389</v>
      </c>
      <c r="D92" s="73" t="s">
        <v>146</v>
      </c>
      <c r="E92" s="73" t="s">
        <v>462</v>
      </c>
      <c r="F92" s="57">
        <v>0</v>
      </c>
      <c r="G92" s="80">
        <v>168250</v>
      </c>
      <c r="H92" s="57">
        <v>62132</v>
      </c>
      <c r="I92" s="77">
        <v>-690</v>
      </c>
      <c r="J92" s="78">
        <f>H92+I92</f>
        <v>61442</v>
      </c>
      <c r="K92" s="77">
        <f>18000</f>
        <v>18000</v>
      </c>
      <c r="L92" s="78">
        <f>J92+K92</f>
        <v>79442</v>
      </c>
      <c r="M92" s="77">
        <f>3000</f>
        <v>3000</v>
      </c>
      <c r="N92" s="78">
        <f>L92+M92</f>
        <v>82442</v>
      </c>
      <c r="O92" s="77"/>
      <c r="P92" s="78">
        <f t="shared" si="7"/>
        <v>82442</v>
      </c>
      <c r="Q92" s="50"/>
      <c r="R92" s="78">
        <f t="shared" si="7"/>
        <v>82442</v>
      </c>
      <c r="S92" s="50"/>
      <c r="T92" s="78">
        <f t="shared" si="7"/>
        <v>82442</v>
      </c>
    </row>
    <row r="93" spans="1:20" ht="33.75" customHeight="1">
      <c r="A93" s="12" t="s">
        <v>491</v>
      </c>
      <c r="B93" s="73">
        <v>901</v>
      </c>
      <c r="C93" s="73" t="s">
        <v>389</v>
      </c>
      <c r="D93" s="73" t="s">
        <v>146</v>
      </c>
      <c r="E93" s="73" t="s">
        <v>463</v>
      </c>
      <c r="F93" s="57">
        <v>0</v>
      </c>
      <c r="G93" s="80">
        <v>545650</v>
      </c>
      <c r="H93" s="57">
        <v>330788</v>
      </c>
      <c r="I93" s="77"/>
      <c r="J93" s="78">
        <f>H93+I93</f>
        <v>330788</v>
      </c>
      <c r="K93" s="77">
        <f>-18000</f>
        <v>-18000</v>
      </c>
      <c r="L93" s="78">
        <f>J93+K93</f>
        <v>312788</v>
      </c>
      <c r="M93" s="77">
        <f>-3000</f>
        <v>-3000</v>
      </c>
      <c r="N93" s="78">
        <f>L93+M93</f>
        <v>309788</v>
      </c>
      <c r="O93" s="77"/>
      <c r="P93" s="78">
        <f t="shared" si="7"/>
        <v>309788</v>
      </c>
      <c r="Q93" s="50"/>
      <c r="R93" s="78">
        <f t="shared" si="7"/>
        <v>309788</v>
      </c>
      <c r="S93" s="50"/>
      <c r="T93" s="78">
        <f t="shared" si="7"/>
        <v>309788</v>
      </c>
    </row>
    <row r="94" spans="1:20" ht="36" customHeight="1">
      <c r="A94" s="12" t="s">
        <v>391</v>
      </c>
      <c r="B94" s="73" t="s">
        <v>368</v>
      </c>
      <c r="C94" s="73" t="s">
        <v>352</v>
      </c>
      <c r="D94" s="73"/>
      <c r="E94" s="73"/>
      <c r="F94" s="57" t="e">
        <f>F95+F109+#REF!</f>
        <v>#REF!</v>
      </c>
      <c r="G94" s="73"/>
      <c r="H94" s="57">
        <f>H95+H109+H117</f>
        <v>4484000</v>
      </c>
      <c r="I94" s="77"/>
      <c r="J94" s="57">
        <f>J95+J109+J117</f>
        <v>4432000</v>
      </c>
      <c r="K94" s="77"/>
      <c r="L94" s="57">
        <f>L95+L109+L117</f>
        <v>4432000</v>
      </c>
      <c r="M94" s="77"/>
      <c r="N94" s="57">
        <f>N95+N109+N117</f>
        <v>4432000</v>
      </c>
      <c r="O94" s="77"/>
      <c r="P94" s="57">
        <f>P95+P109+P117</f>
        <v>4441500</v>
      </c>
      <c r="Q94" s="50"/>
      <c r="R94" s="57">
        <f>R95+R109+R117</f>
        <v>4439500</v>
      </c>
      <c r="S94" s="50"/>
      <c r="T94" s="57">
        <f>T95+T109+T117</f>
        <v>4439500</v>
      </c>
    </row>
    <row r="95" spans="1:20" ht="63.75" customHeight="1">
      <c r="A95" s="12" t="s">
        <v>531</v>
      </c>
      <c r="B95" s="73">
        <v>901</v>
      </c>
      <c r="C95" s="73" t="s">
        <v>353</v>
      </c>
      <c r="D95" s="73"/>
      <c r="E95" s="73"/>
      <c r="F95" s="57" t="e">
        <f>F102+#REF!</f>
        <v>#REF!</v>
      </c>
      <c r="G95" s="73"/>
      <c r="H95" s="57">
        <f>H96+H102</f>
        <v>2928000</v>
      </c>
      <c r="I95" s="77"/>
      <c r="J95" s="57">
        <f>J96+J102</f>
        <v>2908000</v>
      </c>
      <c r="K95" s="77"/>
      <c r="L95" s="57">
        <f>L96+L102</f>
        <v>2908000</v>
      </c>
      <c r="M95" s="77"/>
      <c r="N95" s="57">
        <f>N96+N102</f>
        <v>2889224.2199999997</v>
      </c>
      <c r="O95" s="77"/>
      <c r="P95" s="57">
        <f>P96+P102</f>
        <v>2889224.2199999997</v>
      </c>
      <c r="Q95" s="50"/>
      <c r="R95" s="57">
        <f>R96+R102</f>
        <v>2844724.2199999997</v>
      </c>
      <c r="S95" s="50"/>
      <c r="T95" s="57">
        <f>T96+T102</f>
        <v>2844724.2199999997</v>
      </c>
    </row>
    <row r="96" spans="1:20" ht="63.75" customHeight="1">
      <c r="A96" s="70" t="s">
        <v>614</v>
      </c>
      <c r="B96" s="73" t="s">
        <v>368</v>
      </c>
      <c r="C96" s="73" t="s">
        <v>353</v>
      </c>
      <c r="D96" s="73" t="s">
        <v>429</v>
      </c>
      <c r="E96" s="73"/>
      <c r="F96" s="57"/>
      <c r="G96" s="73"/>
      <c r="H96" s="57">
        <f>H97</f>
        <v>800000</v>
      </c>
      <c r="I96" s="77"/>
      <c r="J96" s="57">
        <f>J97</f>
        <v>780000</v>
      </c>
      <c r="K96" s="77"/>
      <c r="L96" s="57">
        <f>L97</f>
        <v>780000</v>
      </c>
      <c r="M96" s="77"/>
      <c r="N96" s="57">
        <f>N97</f>
        <v>761224.22</v>
      </c>
      <c r="O96" s="77"/>
      <c r="P96" s="57">
        <f>P97</f>
        <v>761224.22</v>
      </c>
      <c r="Q96" s="50"/>
      <c r="R96" s="57">
        <f>R97</f>
        <v>716724.22</v>
      </c>
      <c r="S96" s="50"/>
      <c r="T96" s="57">
        <f>T97</f>
        <v>716724.22</v>
      </c>
    </row>
    <row r="97" spans="1:20" ht="63.75" customHeight="1">
      <c r="A97" s="12" t="s">
        <v>616</v>
      </c>
      <c r="B97" s="73" t="s">
        <v>368</v>
      </c>
      <c r="C97" s="73" t="s">
        <v>353</v>
      </c>
      <c r="D97" s="73" t="s">
        <v>617</v>
      </c>
      <c r="E97" s="73"/>
      <c r="F97" s="57"/>
      <c r="G97" s="73"/>
      <c r="H97" s="57">
        <f>H98</f>
        <v>800000</v>
      </c>
      <c r="I97" s="77"/>
      <c r="J97" s="57">
        <f>J98</f>
        <v>780000</v>
      </c>
      <c r="K97" s="77"/>
      <c r="L97" s="57">
        <f>L98</f>
        <v>780000</v>
      </c>
      <c r="M97" s="77"/>
      <c r="N97" s="57">
        <f>N98</f>
        <v>761224.22</v>
      </c>
      <c r="O97" s="77"/>
      <c r="P97" s="57">
        <f>P98</f>
        <v>761224.22</v>
      </c>
      <c r="Q97" s="50"/>
      <c r="R97" s="57">
        <f>R98</f>
        <v>716724.22</v>
      </c>
      <c r="S97" s="50"/>
      <c r="T97" s="57">
        <f>T98</f>
        <v>716724.22</v>
      </c>
    </row>
    <row r="98" spans="1:20" ht="63.75" customHeight="1">
      <c r="A98" s="12" t="s">
        <v>618</v>
      </c>
      <c r="B98" s="73" t="s">
        <v>368</v>
      </c>
      <c r="C98" s="73" t="s">
        <v>353</v>
      </c>
      <c r="D98" s="73" t="s">
        <v>619</v>
      </c>
      <c r="E98" s="73"/>
      <c r="F98" s="57"/>
      <c r="G98" s="73"/>
      <c r="H98" s="57">
        <f>H99+H100+H101</f>
        <v>800000</v>
      </c>
      <c r="I98" s="77"/>
      <c r="J98" s="57">
        <f>J99+J100+J101</f>
        <v>780000</v>
      </c>
      <c r="K98" s="77"/>
      <c r="L98" s="57">
        <f>L99+L100+L101</f>
        <v>780000</v>
      </c>
      <c r="M98" s="77"/>
      <c r="N98" s="57">
        <f>N99+N100+N101</f>
        <v>761224.22</v>
      </c>
      <c r="O98" s="77"/>
      <c r="P98" s="57">
        <f>P99+P100+P101</f>
        <v>761224.22</v>
      </c>
      <c r="Q98" s="50"/>
      <c r="R98" s="57">
        <f>R99+R100+R101</f>
        <v>716724.22</v>
      </c>
      <c r="S98" s="50"/>
      <c r="T98" s="57">
        <f>T99+T100+T101</f>
        <v>716724.22</v>
      </c>
    </row>
    <row r="99" spans="1:20" ht="51" customHeight="1">
      <c r="A99" s="12" t="s">
        <v>467</v>
      </c>
      <c r="B99" s="73">
        <v>901</v>
      </c>
      <c r="C99" s="73" t="s">
        <v>353</v>
      </c>
      <c r="D99" s="73" t="s">
        <v>619</v>
      </c>
      <c r="E99" s="73" t="s">
        <v>462</v>
      </c>
      <c r="F99" s="57"/>
      <c r="G99" s="73"/>
      <c r="H99" s="57">
        <v>22020</v>
      </c>
      <c r="I99" s="77"/>
      <c r="J99" s="78">
        <f>H99+I99</f>
        <v>22020</v>
      </c>
      <c r="K99" s="77"/>
      <c r="L99" s="78">
        <f>J99+K99</f>
        <v>22020</v>
      </c>
      <c r="M99" s="77"/>
      <c r="N99" s="78">
        <f>L99+M99</f>
        <v>22020</v>
      </c>
      <c r="O99" s="77"/>
      <c r="P99" s="78">
        <f>N99+O99</f>
        <v>22020</v>
      </c>
      <c r="Q99" s="50"/>
      <c r="R99" s="78">
        <f>P99+Q99</f>
        <v>22020</v>
      </c>
      <c r="S99" s="50"/>
      <c r="T99" s="78">
        <f>R99+S99</f>
        <v>22020</v>
      </c>
    </row>
    <row r="100" spans="1:20" ht="39" customHeight="1">
      <c r="A100" s="12" t="s">
        <v>491</v>
      </c>
      <c r="B100" s="73" t="s">
        <v>368</v>
      </c>
      <c r="C100" s="73" t="s">
        <v>353</v>
      </c>
      <c r="D100" s="73" t="s">
        <v>619</v>
      </c>
      <c r="E100" s="73" t="s">
        <v>463</v>
      </c>
      <c r="F100" s="57"/>
      <c r="G100" s="73"/>
      <c r="H100" s="57">
        <v>768000</v>
      </c>
      <c r="I100" s="77">
        <v>-20000</v>
      </c>
      <c r="J100" s="78">
        <f>H100+I100</f>
        <v>748000</v>
      </c>
      <c r="K100" s="77"/>
      <c r="L100" s="78">
        <f>J100+K100</f>
        <v>748000</v>
      </c>
      <c r="M100" s="77">
        <f>-18775.78</f>
        <v>-18775.78</v>
      </c>
      <c r="N100" s="78">
        <f>L100+M100</f>
        <v>729224.22</v>
      </c>
      <c r="O100" s="77"/>
      <c r="P100" s="78">
        <f>N100+O100</f>
        <v>729224.22</v>
      </c>
      <c r="Q100" s="50">
        <f>-44500</f>
        <v>-44500</v>
      </c>
      <c r="R100" s="78">
        <f>P100+Q100</f>
        <v>684724.22</v>
      </c>
      <c r="S100" s="50"/>
      <c r="T100" s="78">
        <f>R100+S100</f>
        <v>684724.22</v>
      </c>
    </row>
    <row r="101" spans="1:20" ht="24" customHeight="1">
      <c r="A101" s="12" t="s">
        <v>472</v>
      </c>
      <c r="B101" s="73" t="s">
        <v>368</v>
      </c>
      <c r="C101" s="73" t="s">
        <v>353</v>
      </c>
      <c r="D101" s="73" t="s">
        <v>619</v>
      </c>
      <c r="E101" s="73" t="s">
        <v>471</v>
      </c>
      <c r="F101" s="57"/>
      <c r="G101" s="73"/>
      <c r="H101" s="57">
        <v>9980</v>
      </c>
      <c r="I101" s="77"/>
      <c r="J101" s="78">
        <f>H101+I101</f>
        <v>9980</v>
      </c>
      <c r="K101" s="77"/>
      <c r="L101" s="78">
        <f>J101+K101</f>
        <v>9980</v>
      </c>
      <c r="M101" s="77"/>
      <c r="N101" s="78">
        <f>L101+M101</f>
        <v>9980</v>
      </c>
      <c r="O101" s="77"/>
      <c r="P101" s="78">
        <f>N101+O101</f>
        <v>9980</v>
      </c>
      <c r="Q101" s="50"/>
      <c r="R101" s="78">
        <f>P101+Q101</f>
        <v>9980</v>
      </c>
      <c r="S101" s="50"/>
      <c r="T101" s="78">
        <f>R101+S101</f>
        <v>9980</v>
      </c>
    </row>
    <row r="102" spans="1:20" ht="92.25" customHeight="1">
      <c r="A102" s="24" t="s">
        <v>537</v>
      </c>
      <c r="B102" s="73">
        <v>901</v>
      </c>
      <c r="C102" s="73" t="s">
        <v>353</v>
      </c>
      <c r="D102" s="73" t="s">
        <v>348</v>
      </c>
      <c r="E102" s="73"/>
      <c r="F102" s="57" t="e">
        <f>#REF!+#REF!</f>
        <v>#REF!</v>
      </c>
      <c r="G102" s="73"/>
      <c r="H102" s="57">
        <f>H103</f>
        <v>2128000</v>
      </c>
      <c r="I102" s="77"/>
      <c r="J102" s="57">
        <f>J103</f>
        <v>2128000</v>
      </c>
      <c r="K102" s="77"/>
      <c r="L102" s="57">
        <f>L103</f>
        <v>2128000</v>
      </c>
      <c r="M102" s="77"/>
      <c r="N102" s="57">
        <f>N103</f>
        <v>2128000</v>
      </c>
      <c r="O102" s="77"/>
      <c r="P102" s="57">
        <f>P103</f>
        <v>2128000</v>
      </c>
      <c r="Q102" s="50"/>
      <c r="R102" s="57">
        <f>R103</f>
        <v>2128000</v>
      </c>
      <c r="S102" s="50"/>
      <c r="T102" s="57">
        <f>T103</f>
        <v>2128000</v>
      </c>
    </row>
    <row r="103" spans="1:20" ht="35.25" customHeight="1">
      <c r="A103" s="24" t="s">
        <v>572</v>
      </c>
      <c r="B103" s="73" t="s">
        <v>368</v>
      </c>
      <c r="C103" s="73" t="s">
        <v>353</v>
      </c>
      <c r="D103" s="73" t="s">
        <v>577</v>
      </c>
      <c r="E103" s="73"/>
      <c r="F103" s="57"/>
      <c r="G103" s="73"/>
      <c r="H103" s="57">
        <f>H104</f>
        <v>2128000</v>
      </c>
      <c r="I103" s="77"/>
      <c r="J103" s="57">
        <f>J104</f>
        <v>2128000</v>
      </c>
      <c r="K103" s="77"/>
      <c r="L103" s="57">
        <f>L104</f>
        <v>2128000</v>
      </c>
      <c r="M103" s="77"/>
      <c r="N103" s="57">
        <f>N104</f>
        <v>2128000</v>
      </c>
      <c r="O103" s="77"/>
      <c r="P103" s="57">
        <f>P104</f>
        <v>2128000</v>
      </c>
      <c r="Q103" s="50"/>
      <c r="R103" s="57">
        <f>R104</f>
        <v>2128000</v>
      </c>
      <c r="S103" s="50"/>
      <c r="T103" s="57">
        <f>T104</f>
        <v>2128000</v>
      </c>
    </row>
    <row r="104" spans="1:20" ht="20.25" customHeight="1">
      <c r="A104" s="16" t="s">
        <v>573</v>
      </c>
      <c r="B104" s="73" t="s">
        <v>368</v>
      </c>
      <c r="C104" s="73" t="s">
        <v>353</v>
      </c>
      <c r="D104" s="73" t="s">
        <v>571</v>
      </c>
      <c r="E104" s="73"/>
      <c r="F104" s="57"/>
      <c r="G104" s="73"/>
      <c r="H104" s="57">
        <f>H105+H106+H107+H108</f>
        <v>2128000</v>
      </c>
      <c r="I104" s="77"/>
      <c r="J104" s="57">
        <f>J105+J106+J107+J108</f>
        <v>2128000</v>
      </c>
      <c r="K104" s="77"/>
      <c r="L104" s="57">
        <f>L105+L106+L107+L108</f>
        <v>2128000</v>
      </c>
      <c r="M104" s="77"/>
      <c r="N104" s="57">
        <f>N105+N106+N107+N108</f>
        <v>2128000</v>
      </c>
      <c r="O104" s="77"/>
      <c r="P104" s="57">
        <f>P105+P106+P107+P108</f>
        <v>2128000</v>
      </c>
      <c r="Q104" s="50"/>
      <c r="R104" s="57">
        <f>R105+R106+R107+R108</f>
        <v>2128000</v>
      </c>
      <c r="S104" s="50"/>
      <c r="T104" s="57">
        <f>T105+T106+T107+T108</f>
        <v>2128000</v>
      </c>
    </row>
    <row r="105" spans="1:20" ht="21.75" customHeight="1">
      <c r="A105" s="12" t="s">
        <v>465</v>
      </c>
      <c r="B105" s="73" t="s">
        <v>368</v>
      </c>
      <c r="C105" s="73" t="s">
        <v>353</v>
      </c>
      <c r="D105" s="73" t="s">
        <v>571</v>
      </c>
      <c r="E105" s="73" t="s">
        <v>460</v>
      </c>
      <c r="F105" s="57"/>
      <c r="G105" s="73"/>
      <c r="H105" s="57">
        <v>1422803</v>
      </c>
      <c r="I105" s="77"/>
      <c r="J105" s="78">
        <f>H105+I105</f>
        <v>1422803</v>
      </c>
      <c r="K105" s="77"/>
      <c r="L105" s="78">
        <f>J105+K105</f>
        <v>1422803</v>
      </c>
      <c r="M105" s="77"/>
      <c r="N105" s="78">
        <f>L105+M105</f>
        <v>1422803</v>
      </c>
      <c r="O105" s="77"/>
      <c r="P105" s="78">
        <f>N105+O105</f>
        <v>1422803</v>
      </c>
      <c r="Q105" s="50"/>
      <c r="R105" s="78">
        <f>P105+Q105</f>
        <v>1422803</v>
      </c>
      <c r="S105" s="50"/>
      <c r="T105" s="78">
        <f>R105+S105</f>
        <v>1422803</v>
      </c>
    </row>
    <row r="106" spans="1:20" ht="21" customHeight="1">
      <c r="A106" s="12" t="s">
        <v>466</v>
      </c>
      <c r="B106" s="73" t="s">
        <v>368</v>
      </c>
      <c r="C106" s="73" t="s">
        <v>353</v>
      </c>
      <c r="D106" s="73" t="s">
        <v>571</v>
      </c>
      <c r="E106" s="73" t="s">
        <v>461</v>
      </c>
      <c r="F106" s="57"/>
      <c r="G106" s="73"/>
      <c r="H106" s="57">
        <v>42194</v>
      </c>
      <c r="I106" s="77">
        <v>9806</v>
      </c>
      <c r="J106" s="78">
        <f>H106+I106</f>
        <v>52000</v>
      </c>
      <c r="K106" s="77"/>
      <c r="L106" s="78">
        <f>J106+K106</f>
        <v>52000</v>
      </c>
      <c r="M106" s="77"/>
      <c r="N106" s="78">
        <f>L106+M106</f>
        <v>52000</v>
      </c>
      <c r="O106" s="77"/>
      <c r="P106" s="78">
        <f>N106+O106</f>
        <v>52000</v>
      </c>
      <c r="Q106" s="50"/>
      <c r="R106" s="78">
        <f>P106+Q106</f>
        <v>52000</v>
      </c>
      <c r="S106" s="50"/>
      <c r="T106" s="78">
        <f>R106+S106</f>
        <v>52000</v>
      </c>
    </row>
    <row r="107" spans="1:20" ht="51.75" customHeight="1">
      <c r="A107" s="12" t="s">
        <v>467</v>
      </c>
      <c r="B107" s="73" t="s">
        <v>368</v>
      </c>
      <c r="C107" s="73" t="s">
        <v>353</v>
      </c>
      <c r="D107" s="73" t="s">
        <v>571</v>
      </c>
      <c r="E107" s="73" t="s">
        <v>462</v>
      </c>
      <c r="F107" s="57"/>
      <c r="G107" s="73"/>
      <c r="H107" s="57">
        <v>123003</v>
      </c>
      <c r="I107" s="77">
        <v>-9806</v>
      </c>
      <c r="J107" s="78">
        <f>H107+I107</f>
        <v>113197</v>
      </c>
      <c r="K107" s="77">
        <f>-10000</f>
        <v>-10000</v>
      </c>
      <c r="L107" s="78">
        <f>J107+K107</f>
        <v>103197</v>
      </c>
      <c r="M107" s="77"/>
      <c r="N107" s="78">
        <f>L107+M107</f>
        <v>103197</v>
      </c>
      <c r="O107" s="77"/>
      <c r="P107" s="78">
        <f>N107+O107</f>
        <v>103197</v>
      </c>
      <c r="Q107" s="50"/>
      <c r="R107" s="78">
        <f>P107+Q107</f>
        <v>103197</v>
      </c>
      <c r="S107" s="50"/>
      <c r="T107" s="78">
        <f>R107+S107</f>
        <v>103197</v>
      </c>
    </row>
    <row r="108" spans="1:20" ht="34.5" customHeight="1">
      <c r="A108" s="12" t="s">
        <v>491</v>
      </c>
      <c r="B108" s="73" t="s">
        <v>368</v>
      </c>
      <c r="C108" s="73" t="s">
        <v>353</v>
      </c>
      <c r="D108" s="73" t="s">
        <v>571</v>
      </c>
      <c r="E108" s="73" t="s">
        <v>463</v>
      </c>
      <c r="F108" s="57"/>
      <c r="G108" s="73"/>
      <c r="H108" s="57">
        <v>540000</v>
      </c>
      <c r="I108" s="77"/>
      <c r="J108" s="78">
        <f>H108+I108</f>
        <v>540000</v>
      </c>
      <c r="K108" s="77">
        <f>10000</f>
        <v>10000</v>
      </c>
      <c r="L108" s="78">
        <f>J108+K108</f>
        <v>550000</v>
      </c>
      <c r="M108" s="77"/>
      <c r="N108" s="78">
        <f>L108+M108</f>
        <v>550000</v>
      </c>
      <c r="O108" s="77"/>
      <c r="P108" s="78">
        <f>N108+O108</f>
        <v>550000</v>
      </c>
      <c r="Q108" s="50"/>
      <c r="R108" s="78">
        <f>P108+Q108</f>
        <v>550000</v>
      </c>
      <c r="S108" s="50"/>
      <c r="T108" s="78">
        <f>R108+S108</f>
        <v>550000</v>
      </c>
    </row>
    <row r="109" spans="1:20" ht="20.25" customHeight="1">
      <c r="A109" s="12" t="s">
        <v>392</v>
      </c>
      <c r="B109" s="73">
        <v>901</v>
      </c>
      <c r="C109" s="73" t="s">
        <v>354</v>
      </c>
      <c r="D109" s="73"/>
      <c r="E109" s="73"/>
      <c r="F109" s="57">
        <f>F110+F115</f>
        <v>0</v>
      </c>
      <c r="G109" s="73"/>
      <c r="H109" s="57">
        <f>H110</f>
        <v>1155000</v>
      </c>
      <c r="I109" s="77"/>
      <c r="J109" s="57">
        <f>J110</f>
        <v>1155000</v>
      </c>
      <c r="K109" s="77"/>
      <c r="L109" s="57">
        <f>L110</f>
        <v>1155000</v>
      </c>
      <c r="M109" s="77"/>
      <c r="N109" s="57">
        <f>N110</f>
        <v>1173775.78</v>
      </c>
      <c r="O109" s="77"/>
      <c r="P109" s="57">
        <f>P110</f>
        <v>1183275.78</v>
      </c>
      <c r="Q109" s="50"/>
      <c r="R109" s="57">
        <f>R110</f>
        <v>1227775.78</v>
      </c>
      <c r="S109" s="50"/>
      <c r="T109" s="57">
        <f>T110</f>
        <v>1227775.78</v>
      </c>
    </row>
    <row r="110" spans="1:20" ht="66" customHeight="1">
      <c r="A110" s="70" t="s">
        <v>614</v>
      </c>
      <c r="B110" s="73" t="s">
        <v>368</v>
      </c>
      <c r="C110" s="73" t="s">
        <v>354</v>
      </c>
      <c r="D110" s="73" t="s">
        <v>429</v>
      </c>
      <c r="E110" s="73"/>
      <c r="F110" s="57"/>
      <c r="G110" s="73"/>
      <c r="H110" s="57">
        <f>H111</f>
        <v>1155000</v>
      </c>
      <c r="I110" s="77"/>
      <c r="J110" s="57">
        <f>J111</f>
        <v>1155000</v>
      </c>
      <c r="K110" s="77"/>
      <c r="L110" s="57">
        <f>L111</f>
        <v>1155000</v>
      </c>
      <c r="M110" s="77"/>
      <c r="N110" s="57">
        <f>N111</f>
        <v>1173775.78</v>
      </c>
      <c r="O110" s="77"/>
      <c r="P110" s="57">
        <f>P111</f>
        <v>1183275.78</v>
      </c>
      <c r="Q110" s="50"/>
      <c r="R110" s="57">
        <f>R111</f>
        <v>1227775.78</v>
      </c>
      <c r="S110" s="50"/>
      <c r="T110" s="57">
        <f>T111</f>
        <v>1227775.78</v>
      </c>
    </row>
    <row r="111" spans="1:20" ht="49.5" customHeight="1">
      <c r="A111" s="12" t="s">
        <v>620</v>
      </c>
      <c r="B111" s="73" t="s">
        <v>368</v>
      </c>
      <c r="C111" s="73" t="s">
        <v>354</v>
      </c>
      <c r="D111" s="73" t="s">
        <v>621</v>
      </c>
      <c r="E111" s="73"/>
      <c r="F111" s="57"/>
      <c r="G111" s="73"/>
      <c r="H111" s="57">
        <f>H112+H115</f>
        <v>1155000</v>
      </c>
      <c r="I111" s="77"/>
      <c r="J111" s="57">
        <f>J112+J115</f>
        <v>1155000</v>
      </c>
      <c r="K111" s="77"/>
      <c r="L111" s="57">
        <f>L112+L115</f>
        <v>1155000</v>
      </c>
      <c r="M111" s="77"/>
      <c r="N111" s="57">
        <f>N112+N115</f>
        <v>1173775.78</v>
      </c>
      <c r="O111" s="77"/>
      <c r="P111" s="57">
        <f>P112+P115</f>
        <v>1183275.78</v>
      </c>
      <c r="Q111" s="50"/>
      <c r="R111" s="57">
        <f>R112+R115</f>
        <v>1227775.78</v>
      </c>
      <c r="S111" s="50"/>
      <c r="T111" s="57">
        <f>T112+T115</f>
        <v>1227775.78</v>
      </c>
    </row>
    <row r="112" spans="1:20" ht="36" customHeight="1">
      <c r="A112" s="12" t="s">
        <v>622</v>
      </c>
      <c r="B112" s="73" t="s">
        <v>368</v>
      </c>
      <c r="C112" s="73" t="s">
        <v>354</v>
      </c>
      <c r="D112" s="73" t="s">
        <v>623</v>
      </c>
      <c r="E112" s="73"/>
      <c r="F112" s="57"/>
      <c r="G112" s="84"/>
      <c r="H112" s="57">
        <f>H113</f>
        <v>361000</v>
      </c>
      <c r="I112" s="77"/>
      <c r="J112" s="57">
        <f>J113</f>
        <v>361000</v>
      </c>
      <c r="K112" s="77"/>
      <c r="L112" s="57">
        <f>L113</f>
        <v>361000</v>
      </c>
      <c r="M112" s="77"/>
      <c r="N112" s="57">
        <f>N113</f>
        <v>379775.78</v>
      </c>
      <c r="O112" s="77"/>
      <c r="P112" s="57">
        <f>P113</f>
        <v>389275.78</v>
      </c>
      <c r="Q112" s="50"/>
      <c r="R112" s="57">
        <f>R113+R114</f>
        <v>433775.78</v>
      </c>
      <c r="S112" s="50"/>
      <c r="T112" s="57">
        <f>T113+T114</f>
        <v>433775.78</v>
      </c>
    </row>
    <row r="113" spans="1:20" ht="33" customHeight="1">
      <c r="A113" s="12" t="s">
        <v>491</v>
      </c>
      <c r="B113" s="73" t="s">
        <v>368</v>
      </c>
      <c r="C113" s="73" t="s">
        <v>354</v>
      </c>
      <c r="D113" s="73" t="s">
        <v>623</v>
      </c>
      <c r="E113" s="73" t="s">
        <v>463</v>
      </c>
      <c r="F113" s="57"/>
      <c r="G113" s="84"/>
      <c r="H113" s="57">
        <v>361000</v>
      </c>
      <c r="I113" s="77"/>
      <c r="J113" s="78">
        <f>H113+I113</f>
        <v>361000</v>
      </c>
      <c r="K113" s="77"/>
      <c r="L113" s="78">
        <f>J113+K113</f>
        <v>361000</v>
      </c>
      <c r="M113" s="77">
        <f>18775.78</f>
        <v>18775.78</v>
      </c>
      <c r="N113" s="78">
        <f>L113+M113</f>
        <v>379775.78</v>
      </c>
      <c r="O113" s="77">
        <v>9500</v>
      </c>
      <c r="P113" s="78">
        <f>N113+O113</f>
        <v>389275.78</v>
      </c>
      <c r="Q113" s="50">
        <f>44000</f>
        <v>44000</v>
      </c>
      <c r="R113" s="78">
        <f>P113+Q113</f>
        <v>433275.78</v>
      </c>
      <c r="S113" s="50"/>
      <c r="T113" s="78">
        <f>R113+S113</f>
        <v>433275.78</v>
      </c>
    </row>
    <row r="114" spans="1:20" ht="19.5" customHeight="1">
      <c r="A114" s="48" t="s">
        <v>472</v>
      </c>
      <c r="B114" s="125" t="s">
        <v>368</v>
      </c>
      <c r="C114" s="86" t="s">
        <v>354</v>
      </c>
      <c r="D114" s="86" t="s">
        <v>623</v>
      </c>
      <c r="E114" s="86" t="s">
        <v>471</v>
      </c>
      <c r="F114" s="122"/>
      <c r="G114" s="123"/>
      <c r="H114" s="124"/>
      <c r="I114" s="114"/>
      <c r="J114" s="115"/>
      <c r="K114" s="116"/>
      <c r="L114" s="115"/>
      <c r="M114" s="116"/>
      <c r="N114" s="115"/>
      <c r="O114" s="116"/>
      <c r="P114" s="117"/>
      <c r="Q114" s="118">
        <v>500</v>
      </c>
      <c r="R114" s="78">
        <f>P114+Q114</f>
        <v>500</v>
      </c>
      <c r="S114" s="50"/>
      <c r="T114" s="78">
        <f>R114+S114</f>
        <v>500</v>
      </c>
    </row>
    <row r="115" spans="1:20" ht="66" customHeight="1">
      <c r="A115" s="25" t="s">
        <v>624</v>
      </c>
      <c r="B115" s="73" t="s">
        <v>368</v>
      </c>
      <c r="C115" s="73" t="s">
        <v>354</v>
      </c>
      <c r="D115" s="73" t="s">
        <v>625</v>
      </c>
      <c r="E115" s="73"/>
      <c r="F115" s="79">
        <f>F116</f>
        <v>0</v>
      </c>
      <c r="G115" s="73"/>
      <c r="H115" s="79">
        <f>H116</f>
        <v>794000</v>
      </c>
      <c r="I115" s="77"/>
      <c r="J115" s="79">
        <f>J116</f>
        <v>794000</v>
      </c>
      <c r="K115" s="77"/>
      <c r="L115" s="79">
        <f>L116</f>
        <v>794000</v>
      </c>
      <c r="M115" s="77"/>
      <c r="N115" s="79">
        <f>N116</f>
        <v>794000</v>
      </c>
      <c r="O115" s="77"/>
      <c r="P115" s="79">
        <f>P116</f>
        <v>794000</v>
      </c>
      <c r="Q115" s="50"/>
      <c r="R115" s="79">
        <f>R116</f>
        <v>794000</v>
      </c>
      <c r="S115" s="50"/>
      <c r="T115" s="79">
        <f>T116</f>
        <v>794000</v>
      </c>
    </row>
    <row r="116" spans="1:20" ht="32.25" customHeight="1">
      <c r="A116" s="12" t="s">
        <v>491</v>
      </c>
      <c r="B116" s="73" t="s">
        <v>368</v>
      </c>
      <c r="C116" s="73" t="s">
        <v>354</v>
      </c>
      <c r="D116" s="73" t="s">
        <v>625</v>
      </c>
      <c r="E116" s="73" t="s">
        <v>463</v>
      </c>
      <c r="F116" s="79">
        <v>0</v>
      </c>
      <c r="G116" s="73" t="s">
        <v>518</v>
      </c>
      <c r="H116" s="79">
        <v>794000</v>
      </c>
      <c r="I116" s="77"/>
      <c r="J116" s="78">
        <f>H116+I116</f>
        <v>794000</v>
      </c>
      <c r="K116" s="77"/>
      <c r="L116" s="78">
        <f>J116+K116</f>
        <v>794000</v>
      </c>
      <c r="M116" s="77"/>
      <c r="N116" s="78">
        <f>L116+M116</f>
        <v>794000</v>
      </c>
      <c r="O116" s="77"/>
      <c r="P116" s="78">
        <f>N116+O116</f>
        <v>794000</v>
      </c>
      <c r="Q116" s="50"/>
      <c r="R116" s="78">
        <f>P116+Q116</f>
        <v>794000</v>
      </c>
      <c r="S116" s="50"/>
      <c r="T116" s="78">
        <f>R116+S116</f>
        <v>794000</v>
      </c>
    </row>
    <row r="117" spans="1:20" ht="32.25" customHeight="1">
      <c r="A117" s="12" t="s">
        <v>626</v>
      </c>
      <c r="B117" s="73" t="s">
        <v>368</v>
      </c>
      <c r="C117" s="73" t="s">
        <v>627</v>
      </c>
      <c r="D117" s="73"/>
      <c r="E117" s="73"/>
      <c r="F117" s="79"/>
      <c r="G117" s="73"/>
      <c r="H117" s="79">
        <f>H118</f>
        <v>401000</v>
      </c>
      <c r="I117" s="77"/>
      <c r="J117" s="79">
        <f>J118</f>
        <v>369000</v>
      </c>
      <c r="K117" s="77"/>
      <c r="L117" s="79">
        <f>L118</f>
        <v>369000</v>
      </c>
      <c r="M117" s="77"/>
      <c r="N117" s="79">
        <f>N118</f>
        <v>369000</v>
      </c>
      <c r="O117" s="77"/>
      <c r="P117" s="79">
        <f>P118</f>
        <v>369000</v>
      </c>
      <c r="Q117" s="50"/>
      <c r="R117" s="79">
        <f>R118</f>
        <v>367000</v>
      </c>
      <c r="S117" s="50"/>
      <c r="T117" s="79">
        <f>T118</f>
        <v>367000</v>
      </c>
    </row>
    <row r="118" spans="1:20" ht="63.75" customHeight="1">
      <c r="A118" s="70" t="s">
        <v>614</v>
      </c>
      <c r="B118" s="73" t="s">
        <v>368</v>
      </c>
      <c r="C118" s="73" t="s">
        <v>627</v>
      </c>
      <c r="D118" s="73" t="s">
        <v>429</v>
      </c>
      <c r="E118" s="73"/>
      <c r="F118" s="79"/>
      <c r="G118" s="73"/>
      <c r="H118" s="79">
        <f>H119+H123</f>
        <v>401000</v>
      </c>
      <c r="I118" s="77"/>
      <c r="J118" s="79">
        <f>J119+J123</f>
        <v>369000</v>
      </c>
      <c r="K118" s="77"/>
      <c r="L118" s="79">
        <f>L119+L123</f>
        <v>369000</v>
      </c>
      <c r="M118" s="77"/>
      <c r="N118" s="79">
        <f>N119+N123</f>
        <v>369000</v>
      </c>
      <c r="O118" s="77"/>
      <c r="P118" s="79">
        <f>P119+P123</f>
        <v>369000</v>
      </c>
      <c r="Q118" s="50"/>
      <c r="R118" s="79">
        <f>R119+R123</f>
        <v>367000</v>
      </c>
      <c r="S118" s="50"/>
      <c r="T118" s="79">
        <f>T119+T123</f>
        <v>367000</v>
      </c>
    </row>
    <row r="119" spans="1:20" ht="49.5" customHeight="1">
      <c r="A119" s="16" t="s">
        <v>615</v>
      </c>
      <c r="B119" s="73" t="s">
        <v>368</v>
      </c>
      <c r="C119" s="73" t="s">
        <v>627</v>
      </c>
      <c r="D119" s="73" t="s">
        <v>613</v>
      </c>
      <c r="E119" s="73"/>
      <c r="F119" s="79"/>
      <c r="G119" s="73"/>
      <c r="H119" s="79">
        <f>H120</f>
        <v>301000</v>
      </c>
      <c r="I119" s="77"/>
      <c r="J119" s="79">
        <f>J120</f>
        <v>301000</v>
      </c>
      <c r="K119" s="77"/>
      <c r="L119" s="79">
        <f>L120</f>
        <v>301000</v>
      </c>
      <c r="M119" s="77"/>
      <c r="N119" s="79">
        <f>N120</f>
        <v>301000</v>
      </c>
      <c r="O119" s="77"/>
      <c r="P119" s="79">
        <f>P120</f>
        <v>301000</v>
      </c>
      <c r="Q119" s="50"/>
      <c r="R119" s="79">
        <f>R120</f>
        <v>299000</v>
      </c>
      <c r="S119" s="50"/>
      <c r="T119" s="79">
        <f>T120</f>
        <v>299000</v>
      </c>
    </row>
    <row r="120" spans="1:20" ht="32.25" customHeight="1">
      <c r="A120" s="26" t="s">
        <v>611</v>
      </c>
      <c r="B120" s="73">
        <v>901</v>
      </c>
      <c r="C120" s="73" t="s">
        <v>627</v>
      </c>
      <c r="D120" s="73" t="s">
        <v>612</v>
      </c>
      <c r="E120" s="73"/>
      <c r="F120" s="79"/>
      <c r="G120" s="73"/>
      <c r="H120" s="79">
        <f>H121</f>
        <v>301000</v>
      </c>
      <c r="I120" s="77"/>
      <c r="J120" s="79">
        <f>J121</f>
        <v>301000</v>
      </c>
      <c r="K120" s="77"/>
      <c r="L120" s="79">
        <f>L121</f>
        <v>301000</v>
      </c>
      <c r="M120" s="77"/>
      <c r="N120" s="79">
        <f>N121+N122</f>
        <v>301000</v>
      </c>
      <c r="O120" s="77"/>
      <c r="P120" s="79">
        <f>P121+P122</f>
        <v>301000</v>
      </c>
      <c r="Q120" s="50"/>
      <c r="R120" s="79">
        <f>R121+R122</f>
        <v>299000</v>
      </c>
      <c r="S120" s="50"/>
      <c r="T120" s="79">
        <f>T121+T122</f>
        <v>299000</v>
      </c>
    </row>
    <row r="121" spans="1:20" ht="32.25" customHeight="1">
      <c r="A121" s="12" t="s">
        <v>491</v>
      </c>
      <c r="B121" s="73" t="s">
        <v>368</v>
      </c>
      <c r="C121" s="73" t="s">
        <v>627</v>
      </c>
      <c r="D121" s="73" t="s">
        <v>612</v>
      </c>
      <c r="E121" s="73" t="s">
        <v>463</v>
      </c>
      <c r="F121" s="79"/>
      <c r="G121" s="73"/>
      <c r="H121" s="79">
        <v>301000</v>
      </c>
      <c r="I121" s="77"/>
      <c r="J121" s="78">
        <f>H121+I121</f>
        <v>301000</v>
      </c>
      <c r="K121" s="77"/>
      <c r="L121" s="78">
        <f>J121+K121</f>
        <v>301000</v>
      </c>
      <c r="M121" s="77">
        <f>-50000</f>
        <v>-50000</v>
      </c>
      <c r="N121" s="78">
        <f>L121+M121</f>
        <v>251000</v>
      </c>
      <c r="O121" s="77"/>
      <c r="P121" s="78">
        <f>N121+O121</f>
        <v>251000</v>
      </c>
      <c r="Q121" s="50">
        <f>-2000</f>
        <v>-2000</v>
      </c>
      <c r="R121" s="78">
        <f>P121+Q121</f>
        <v>249000</v>
      </c>
      <c r="S121" s="50"/>
      <c r="T121" s="78">
        <f>R121+S121</f>
        <v>249000</v>
      </c>
    </row>
    <row r="122" spans="1:20" ht="21.75" customHeight="1">
      <c r="A122" s="12" t="s">
        <v>472</v>
      </c>
      <c r="B122" s="73" t="s">
        <v>368</v>
      </c>
      <c r="C122" s="73" t="s">
        <v>627</v>
      </c>
      <c r="D122" s="73" t="s">
        <v>612</v>
      </c>
      <c r="E122" s="73" t="s">
        <v>471</v>
      </c>
      <c r="F122" s="79"/>
      <c r="G122" s="73"/>
      <c r="H122" s="79"/>
      <c r="I122" s="77"/>
      <c r="J122" s="78"/>
      <c r="K122" s="77"/>
      <c r="L122" s="78"/>
      <c r="M122" s="77">
        <f>50000</f>
        <v>50000</v>
      </c>
      <c r="N122" s="78">
        <f>L122+M122</f>
        <v>50000</v>
      </c>
      <c r="O122" s="77"/>
      <c r="P122" s="78">
        <f>N122+O122</f>
        <v>50000</v>
      </c>
      <c r="Q122" s="50"/>
      <c r="R122" s="78">
        <f>P122+Q122</f>
        <v>50000</v>
      </c>
      <c r="S122" s="50"/>
      <c r="T122" s="78">
        <f>R122+S122</f>
        <v>50000</v>
      </c>
    </row>
    <row r="123" spans="1:20" ht="97.5" customHeight="1">
      <c r="A123" s="12" t="s">
        <v>628</v>
      </c>
      <c r="B123" s="73" t="s">
        <v>368</v>
      </c>
      <c r="C123" s="73" t="s">
        <v>627</v>
      </c>
      <c r="D123" s="73" t="s">
        <v>629</v>
      </c>
      <c r="E123" s="73"/>
      <c r="F123" s="79"/>
      <c r="G123" s="73"/>
      <c r="H123" s="79">
        <f>H124</f>
        <v>100000</v>
      </c>
      <c r="I123" s="77"/>
      <c r="J123" s="79">
        <f>J124</f>
        <v>68000</v>
      </c>
      <c r="K123" s="77"/>
      <c r="L123" s="79">
        <f>L124</f>
        <v>68000</v>
      </c>
      <c r="M123" s="77"/>
      <c r="N123" s="79">
        <f>N124</f>
        <v>68000</v>
      </c>
      <c r="O123" s="77"/>
      <c r="P123" s="79">
        <f>P124</f>
        <v>68000</v>
      </c>
      <c r="Q123" s="50"/>
      <c r="R123" s="79">
        <f>R124</f>
        <v>68000</v>
      </c>
      <c r="S123" s="50"/>
      <c r="T123" s="79">
        <f>T124</f>
        <v>68000</v>
      </c>
    </row>
    <row r="124" spans="1:20" ht="81" customHeight="1">
      <c r="A124" s="12" t="s">
        <v>630</v>
      </c>
      <c r="B124" s="73" t="s">
        <v>368</v>
      </c>
      <c r="C124" s="73" t="s">
        <v>627</v>
      </c>
      <c r="D124" s="73" t="s">
        <v>631</v>
      </c>
      <c r="E124" s="73"/>
      <c r="F124" s="79"/>
      <c r="G124" s="73"/>
      <c r="H124" s="79">
        <f>H125</f>
        <v>100000</v>
      </c>
      <c r="I124" s="77"/>
      <c r="J124" s="79">
        <f>J125</f>
        <v>68000</v>
      </c>
      <c r="K124" s="77"/>
      <c r="L124" s="79">
        <f>L125</f>
        <v>68000</v>
      </c>
      <c r="M124" s="77"/>
      <c r="N124" s="79">
        <f>N125</f>
        <v>68000</v>
      </c>
      <c r="O124" s="77"/>
      <c r="P124" s="79">
        <f>P125</f>
        <v>68000</v>
      </c>
      <c r="Q124" s="50"/>
      <c r="R124" s="79">
        <f>R125</f>
        <v>68000</v>
      </c>
      <c r="S124" s="50"/>
      <c r="T124" s="79">
        <f>T125</f>
        <v>68000</v>
      </c>
    </row>
    <row r="125" spans="1:20" s="8" customFormat="1" ht="32.25" customHeight="1">
      <c r="A125" s="12" t="s">
        <v>491</v>
      </c>
      <c r="B125" s="73" t="s">
        <v>368</v>
      </c>
      <c r="C125" s="73" t="s">
        <v>627</v>
      </c>
      <c r="D125" s="73" t="s">
        <v>631</v>
      </c>
      <c r="E125" s="73" t="s">
        <v>463</v>
      </c>
      <c r="F125" s="79"/>
      <c r="G125" s="73"/>
      <c r="H125" s="79">
        <v>100000</v>
      </c>
      <c r="I125" s="81">
        <v>-32000</v>
      </c>
      <c r="J125" s="57">
        <f>H125+I125</f>
        <v>68000</v>
      </c>
      <c r="K125" s="81"/>
      <c r="L125" s="57">
        <f>J125+K125</f>
        <v>68000</v>
      </c>
      <c r="M125" s="81"/>
      <c r="N125" s="57">
        <f>L125+M125</f>
        <v>68000</v>
      </c>
      <c r="O125" s="81"/>
      <c r="P125" s="57">
        <f>N125+O125</f>
        <v>68000</v>
      </c>
      <c r="Q125" s="109"/>
      <c r="R125" s="57">
        <f>P125+Q125</f>
        <v>68000</v>
      </c>
      <c r="S125" s="109"/>
      <c r="T125" s="57">
        <f>R125+S125</f>
        <v>68000</v>
      </c>
    </row>
    <row r="126" spans="1:20" ht="20.25" customHeight="1">
      <c r="A126" s="12" t="s">
        <v>404</v>
      </c>
      <c r="B126" s="73">
        <v>901</v>
      </c>
      <c r="C126" s="73" t="s">
        <v>355</v>
      </c>
      <c r="D126" s="73"/>
      <c r="E126" s="73"/>
      <c r="F126" s="57" t="e">
        <f>F127+F132+F165+F140+F154+F145</f>
        <v>#REF!</v>
      </c>
      <c r="G126" s="73"/>
      <c r="H126" s="57">
        <f>H127+H132+H165+H140+H154+H145</f>
        <v>11326000</v>
      </c>
      <c r="I126" s="77"/>
      <c r="J126" s="57">
        <f>J127+J132+J165+J140+J154+J145</f>
        <v>11946000</v>
      </c>
      <c r="K126" s="77"/>
      <c r="L126" s="57">
        <f>L127+L132+L165+L140+L154+L145</f>
        <v>12387580</v>
      </c>
      <c r="M126" s="77"/>
      <c r="N126" s="57">
        <f>N127+N132+N165+N140+N154+N145</f>
        <v>12387580</v>
      </c>
      <c r="O126" s="77"/>
      <c r="P126" s="57">
        <f>P127+P132+P165+P140+P154+P145</f>
        <v>12378080</v>
      </c>
      <c r="Q126" s="50"/>
      <c r="R126" s="57">
        <f>R127+R132+R165+R140+R154+R145</f>
        <v>12378080</v>
      </c>
      <c r="S126" s="50"/>
      <c r="T126" s="57">
        <f>T127+T132+T165+T140+T154+T145</f>
        <v>12377330</v>
      </c>
    </row>
    <row r="127" spans="1:20" ht="18.75" customHeight="1">
      <c r="A127" s="12" t="s">
        <v>405</v>
      </c>
      <c r="B127" s="73" t="s">
        <v>368</v>
      </c>
      <c r="C127" s="73" t="s">
        <v>356</v>
      </c>
      <c r="D127" s="73"/>
      <c r="E127" s="73"/>
      <c r="F127" s="57" t="e">
        <f>#REF!</f>
        <v>#REF!</v>
      </c>
      <c r="G127" s="73"/>
      <c r="H127" s="57">
        <f>H128</f>
        <v>85000</v>
      </c>
      <c r="I127" s="77"/>
      <c r="J127" s="57">
        <f>J128</f>
        <v>85000</v>
      </c>
      <c r="K127" s="77"/>
      <c r="L127" s="57">
        <f>L128</f>
        <v>85000</v>
      </c>
      <c r="M127" s="77"/>
      <c r="N127" s="57">
        <f>N128</f>
        <v>85000</v>
      </c>
      <c r="O127" s="77"/>
      <c r="P127" s="57">
        <f>P128</f>
        <v>85000</v>
      </c>
      <c r="Q127" s="50"/>
      <c r="R127" s="57">
        <f>R128</f>
        <v>85000</v>
      </c>
      <c r="S127" s="50"/>
      <c r="T127" s="57">
        <f>T128</f>
        <v>85000</v>
      </c>
    </row>
    <row r="128" spans="1:20" ht="143.25" customHeight="1">
      <c r="A128" s="12" t="s">
        <v>646</v>
      </c>
      <c r="B128" s="73" t="s">
        <v>368</v>
      </c>
      <c r="C128" s="73" t="s">
        <v>356</v>
      </c>
      <c r="D128" s="73" t="s">
        <v>640</v>
      </c>
      <c r="E128" s="73"/>
      <c r="F128" s="57">
        <f>F131</f>
        <v>0</v>
      </c>
      <c r="G128" s="73"/>
      <c r="H128" s="57">
        <f>H129</f>
        <v>85000</v>
      </c>
      <c r="I128" s="77"/>
      <c r="J128" s="57">
        <f>J129</f>
        <v>85000</v>
      </c>
      <c r="K128" s="77"/>
      <c r="L128" s="57">
        <f>L129</f>
        <v>85000</v>
      </c>
      <c r="M128" s="77"/>
      <c r="N128" s="57">
        <f>N129</f>
        <v>85000</v>
      </c>
      <c r="O128" s="77"/>
      <c r="P128" s="57">
        <f>P129</f>
        <v>85000</v>
      </c>
      <c r="Q128" s="50"/>
      <c r="R128" s="57">
        <f>R129</f>
        <v>85000</v>
      </c>
      <c r="S128" s="50"/>
      <c r="T128" s="57">
        <f>T129</f>
        <v>85000</v>
      </c>
    </row>
    <row r="129" spans="1:20" ht="84.75" customHeight="1">
      <c r="A129" s="48" t="s">
        <v>151</v>
      </c>
      <c r="B129" s="73" t="s">
        <v>368</v>
      </c>
      <c r="C129" s="73" t="s">
        <v>356</v>
      </c>
      <c r="D129" s="73" t="s">
        <v>647</v>
      </c>
      <c r="E129" s="73"/>
      <c r="F129" s="57"/>
      <c r="G129" s="73"/>
      <c r="H129" s="57">
        <f>H130</f>
        <v>85000</v>
      </c>
      <c r="I129" s="77"/>
      <c r="J129" s="57">
        <f>J130</f>
        <v>85000</v>
      </c>
      <c r="K129" s="77"/>
      <c r="L129" s="57">
        <f>L130</f>
        <v>85000</v>
      </c>
      <c r="M129" s="77"/>
      <c r="N129" s="57">
        <f>N130</f>
        <v>85000</v>
      </c>
      <c r="O129" s="77"/>
      <c r="P129" s="57">
        <f>P130</f>
        <v>85000</v>
      </c>
      <c r="Q129" s="50"/>
      <c r="R129" s="57">
        <f>R130</f>
        <v>85000</v>
      </c>
      <c r="S129" s="50"/>
      <c r="T129" s="57">
        <f>T130</f>
        <v>85000</v>
      </c>
    </row>
    <row r="130" spans="1:20" ht="33.75" customHeight="1">
      <c r="A130" s="53" t="s">
        <v>152</v>
      </c>
      <c r="B130" s="73" t="s">
        <v>368</v>
      </c>
      <c r="C130" s="73" t="s">
        <v>356</v>
      </c>
      <c r="D130" s="73" t="s">
        <v>206</v>
      </c>
      <c r="E130" s="73"/>
      <c r="F130" s="57"/>
      <c r="G130" s="73"/>
      <c r="H130" s="57">
        <f>H131</f>
        <v>85000</v>
      </c>
      <c r="I130" s="77"/>
      <c r="J130" s="57">
        <f>J131</f>
        <v>85000</v>
      </c>
      <c r="K130" s="77"/>
      <c r="L130" s="57">
        <f>L131</f>
        <v>85000</v>
      </c>
      <c r="M130" s="77"/>
      <c r="N130" s="57">
        <f>N131</f>
        <v>85000</v>
      </c>
      <c r="O130" s="77"/>
      <c r="P130" s="57">
        <f>P131</f>
        <v>85000</v>
      </c>
      <c r="Q130" s="50"/>
      <c r="R130" s="57">
        <f>R131</f>
        <v>85000</v>
      </c>
      <c r="S130" s="50"/>
      <c r="T130" s="57">
        <f>T131</f>
        <v>85000</v>
      </c>
    </row>
    <row r="131" spans="1:20" ht="17.25" customHeight="1">
      <c r="A131" s="12" t="s">
        <v>472</v>
      </c>
      <c r="B131" s="73" t="s">
        <v>368</v>
      </c>
      <c r="C131" s="73" t="s">
        <v>356</v>
      </c>
      <c r="D131" s="73" t="s">
        <v>206</v>
      </c>
      <c r="E131" s="73" t="s">
        <v>471</v>
      </c>
      <c r="F131" s="57">
        <v>0</v>
      </c>
      <c r="G131" s="73" t="s">
        <v>526</v>
      </c>
      <c r="H131" s="57">
        <f>F131+G131</f>
        <v>85000</v>
      </c>
      <c r="I131" s="77"/>
      <c r="J131" s="78">
        <f>H131+I131</f>
        <v>85000</v>
      </c>
      <c r="K131" s="77"/>
      <c r="L131" s="78">
        <f>J131+K131</f>
        <v>85000</v>
      </c>
      <c r="M131" s="77"/>
      <c r="N131" s="78">
        <f>L131+M131</f>
        <v>85000</v>
      </c>
      <c r="O131" s="77"/>
      <c r="P131" s="78">
        <f>N131+O131</f>
        <v>85000</v>
      </c>
      <c r="Q131" s="50"/>
      <c r="R131" s="78">
        <f>P131+Q131</f>
        <v>85000</v>
      </c>
      <c r="S131" s="50"/>
      <c r="T131" s="78">
        <f>R131+S131</f>
        <v>85000</v>
      </c>
    </row>
    <row r="132" spans="1:20" ht="15" customHeight="1">
      <c r="A132" s="12" t="s">
        <v>499</v>
      </c>
      <c r="B132" s="73" t="s">
        <v>368</v>
      </c>
      <c r="C132" s="73" t="s">
        <v>357</v>
      </c>
      <c r="D132" s="73"/>
      <c r="E132" s="73"/>
      <c r="F132" s="57" t="e">
        <f>F137+#REF!</f>
        <v>#REF!</v>
      </c>
      <c r="G132" s="73"/>
      <c r="H132" s="57">
        <f>H133</f>
        <v>1994000</v>
      </c>
      <c r="I132" s="77"/>
      <c r="J132" s="57">
        <f>J133</f>
        <v>1994000</v>
      </c>
      <c r="K132" s="77"/>
      <c r="L132" s="57">
        <f>L133</f>
        <v>1994000</v>
      </c>
      <c r="M132" s="77"/>
      <c r="N132" s="57">
        <f>N133</f>
        <v>1994000</v>
      </c>
      <c r="O132" s="77"/>
      <c r="P132" s="57">
        <f>P133</f>
        <v>1984500</v>
      </c>
      <c r="Q132" s="50"/>
      <c r="R132" s="57">
        <f>R133</f>
        <v>1984500</v>
      </c>
      <c r="S132" s="50"/>
      <c r="T132" s="57">
        <f>T133</f>
        <v>1983750</v>
      </c>
    </row>
    <row r="133" spans="1:20" ht="68.25" customHeight="1">
      <c r="A133" s="70" t="s">
        <v>614</v>
      </c>
      <c r="B133" s="73" t="s">
        <v>368</v>
      </c>
      <c r="C133" s="73" t="s">
        <v>357</v>
      </c>
      <c r="D133" s="73" t="s">
        <v>429</v>
      </c>
      <c r="E133" s="73"/>
      <c r="F133" s="57"/>
      <c r="G133" s="73"/>
      <c r="H133" s="57">
        <f>H134+H137</f>
        <v>1994000</v>
      </c>
      <c r="I133" s="77"/>
      <c r="J133" s="57">
        <f>J134+J137</f>
        <v>1994000</v>
      </c>
      <c r="K133" s="77"/>
      <c r="L133" s="57">
        <f>L134+L137</f>
        <v>1994000</v>
      </c>
      <c r="M133" s="77"/>
      <c r="N133" s="57">
        <f>N134+N137</f>
        <v>1994000</v>
      </c>
      <c r="O133" s="77"/>
      <c r="P133" s="57">
        <f>P134+P137</f>
        <v>1984500</v>
      </c>
      <c r="Q133" s="50"/>
      <c r="R133" s="57">
        <f>R134+R137</f>
        <v>1984500</v>
      </c>
      <c r="S133" s="50"/>
      <c r="T133" s="57">
        <f>T134+T137</f>
        <v>1983750</v>
      </c>
    </row>
    <row r="134" spans="1:20" ht="47.25" customHeight="1">
      <c r="A134" s="12" t="s">
        <v>636</v>
      </c>
      <c r="B134" s="73" t="s">
        <v>368</v>
      </c>
      <c r="C134" s="73" t="s">
        <v>357</v>
      </c>
      <c r="D134" s="73" t="s">
        <v>609</v>
      </c>
      <c r="E134" s="73"/>
      <c r="F134" s="57"/>
      <c r="G134" s="73"/>
      <c r="H134" s="57">
        <f>H135</f>
        <v>204500</v>
      </c>
      <c r="I134" s="77"/>
      <c r="J134" s="57">
        <f>J135</f>
        <v>204500</v>
      </c>
      <c r="K134" s="77"/>
      <c r="L134" s="57">
        <f>L135</f>
        <v>204500</v>
      </c>
      <c r="M134" s="77"/>
      <c r="N134" s="57">
        <f>N135</f>
        <v>204500</v>
      </c>
      <c r="O134" s="77"/>
      <c r="P134" s="57">
        <f>P135</f>
        <v>180146.54</v>
      </c>
      <c r="Q134" s="50"/>
      <c r="R134" s="57">
        <f>R135</f>
        <v>180146.54</v>
      </c>
      <c r="S134" s="50"/>
      <c r="T134" s="57">
        <f>T135</f>
        <v>179396.54</v>
      </c>
    </row>
    <row r="135" spans="1:20" ht="39" customHeight="1">
      <c r="A135" s="12" t="s">
        <v>610</v>
      </c>
      <c r="B135" s="73" t="s">
        <v>368</v>
      </c>
      <c r="C135" s="73" t="s">
        <v>357</v>
      </c>
      <c r="D135" s="73" t="s">
        <v>637</v>
      </c>
      <c r="E135" s="73"/>
      <c r="F135" s="57"/>
      <c r="G135" s="73"/>
      <c r="H135" s="57">
        <f>H136</f>
        <v>204500</v>
      </c>
      <c r="I135" s="77"/>
      <c r="J135" s="57">
        <f>J136</f>
        <v>204500</v>
      </c>
      <c r="K135" s="77"/>
      <c r="L135" s="57">
        <f>L136</f>
        <v>204500</v>
      </c>
      <c r="M135" s="77"/>
      <c r="N135" s="57">
        <f>N136</f>
        <v>204500</v>
      </c>
      <c r="O135" s="77"/>
      <c r="P135" s="57">
        <f>P136</f>
        <v>180146.54</v>
      </c>
      <c r="Q135" s="50"/>
      <c r="R135" s="57">
        <f>R136</f>
        <v>180146.54</v>
      </c>
      <c r="S135" s="50"/>
      <c r="T135" s="57">
        <f>T136</f>
        <v>179396.54</v>
      </c>
    </row>
    <row r="136" spans="1:20" ht="39" customHeight="1">
      <c r="A136" s="12" t="s">
        <v>494</v>
      </c>
      <c r="B136" s="73" t="s">
        <v>368</v>
      </c>
      <c r="C136" s="73" t="s">
        <v>357</v>
      </c>
      <c r="D136" s="73" t="s">
        <v>637</v>
      </c>
      <c r="E136" s="73" t="s">
        <v>463</v>
      </c>
      <c r="F136" s="57"/>
      <c r="G136" s="73"/>
      <c r="H136" s="57">
        <v>204500</v>
      </c>
      <c r="I136" s="77"/>
      <c r="J136" s="78">
        <f>H136+I136</f>
        <v>204500</v>
      </c>
      <c r="K136" s="77"/>
      <c r="L136" s="78">
        <f>J136+K136</f>
        <v>204500</v>
      </c>
      <c r="M136" s="77"/>
      <c r="N136" s="78">
        <f>L136+M136</f>
        <v>204500</v>
      </c>
      <c r="O136" s="77">
        <f>-9500-3750-11103.46</f>
        <v>-24353.46</v>
      </c>
      <c r="P136" s="78">
        <f>N136+O136</f>
        <v>180146.54</v>
      </c>
      <c r="Q136" s="50"/>
      <c r="R136" s="78">
        <f>P136+Q136</f>
        <v>180146.54</v>
      </c>
      <c r="S136" s="50">
        <v>-750</v>
      </c>
      <c r="T136" s="78">
        <f>R136+S136</f>
        <v>179396.54</v>
      </c>
    </row>
    <row r="137" spans="1:20" ht="61.5" customHeight="1">
      <c r="A137" s="16" t="s">
        <v>633</v>
      </c>
      <c r="B137" s="73" t="s">
        <v>368</v>
      </c>
      <c r="C137" s="73" t="s">
        <v>357</v>
      </c>
      <c r="D137" s="73" t="s">
        <v>632</v>
      </c>
      <c r="E137" s="73"/>
      <c r="F137" s="57" t="e">
        <f>#REF!+F139</f>
        <v>#REF!</v>
      </c>
      <c r="G137" s="73"/>
      <c r="H137" s="57">
        <f>H138</f>
        <v>1789500</v>
      </c>
      <c r="I137" s="77"/>
      <c r="J137" s="57">
        <f>J138</f>
        <v>1789500</v>
      </c>
      <c r="K137" s="77"/>
      <c r="L137" s="57">
        <f>L138</f>
        <v>1789500</v>
      </c>
      <c r="M137" s="77"/>
      <c r="N137" s="57">
        <f>N138</f>
        <v>1789500</v>
      </c>
      <c r="O137" s="77"/>
      <c r="P137" s="57">
        <f>P138</f>
        <v>1804353.46</v>
      </c>
      <c r="Q137" s="50"/>
      <c r="R137" s="57">
        <f>R138</f>
        <v>1804353.46</v>
      </c>
      <c r="S137" s="50"/>
      <c r="T137" s="57">
        <f>T138</f>
        <v>1804353.46</v>
      </c>
    </row>
    <row r="138" spans="1:20" ht="32.25" customHeight="1">
      <c r="A138" s="16" t="s">
        <v>634</v>
      </c>
      <c r="B138" s="73" t="s">
        <v>368</v>
      </c>
      <c r="C138" s="73" t="s">
        <v>357</v>
      </c>
      <c r="D138" s="73" t="s">
        <v>635</v>
      </c>
      <c r="E138" s="73"/>
      <c r="F138" s="57"/>
      <c r="G138" s="73"/>
      <c r="H138" s="57">
        <f>H139</f>
        <v>1789500</v>
      </c>
      <c r="I138" s="77"/>
      <c r="J138" s="57">
        <f>J139</f>
        <v>1789500</v>
      </c>
      <c r="K138" s="77"/>
      <c r="L138" s="57">
        <f>L139</f>
        <v>1789500</v>
      </c>
      <c r="M138" s="77"/>
      <c r="N138" s="57">
        <f>N139</f>
        <v>1789500</v>
      </c>
      <c r="O138" s="77"/>
      <c r="P138" s="57">
        <f>P139</f>
        <v>1804353.46</v>
      </c>
      <c r="Q138" s="50"/>
      <c r="R138" s="57">
        <f>R139</f>
        <v>1804353.46</v>
      </c>
      <c r="S138" s="50"/>
      <c r="T138" s="57">
        <f>T139</f>
        <v>1804353.46</v>
      </c>
    </row>
    <row r="139" spans="1:20" ht="36.75" customHeight="1">
      <c r="A139" s="12" t="s">
        <v>494</v>
      </c>
      <c r="B139" s="73" t="s">
        <v>368</v>
      </c>
      <c r="C139" s="73" t="s">
        <v>357</v>
      </c>
      <c r="D139" s="73" t="s">
        <v>635</v>
      </c>
      <c r="E139" s="73" t="s">
        <v>463</v>
      </c>
      <c r="F139" s="57">
        <v>0</v>
      </c>
      <c r="G139" s="84">
        <v>1899000</v>
      </c>
      <c r="H139" s="57">
        <v>1789500</v>
      </c>
      <c r="I139" s="77"/>
      <c r="J139" s="78">
        <f>H139+I139</f>
        <v>1789500</v>
      </c>
      <c r="K139" s="77"/>
      <c r="L139" s="78">
        <f>J139+K139</f>
        <v>1789500</v>
      </c>
      <c r="M139" s="77"/>
      <c r="N139" s="78">
        <f>L139+M139</f>
        <v>1789500</v>
      </c>
      <c r="O139" s="77">
        <f>3750+11103.46</f>
        <v>14853.46</v>
      </c>
      <c r="P139" s="78">
        <f>N139+O139</f>
        <v>1804353.46</v>
      </c>
      <c r="Q139" s="50"/>
      <c r="R139" s="78">
        <f>P139+Q139</f>
        <v>1804353.46</v>
      </c>
      <c r="S139" s="50"/>
      <c r="T139" s="78">
        <f>R139+S139</f>
        <v>1804353.46</v>
      </c>
    </row>
    <row r="140" spans="1:20" ht="20.25" customHeight="1">
      <c r="A140" s="12" t="s">
        <v>374</v>
      </c>
      <c r="B140" s="73" t="s">
        <v>368</v>
      </c>
      <c r="C140" s="73" t="s">
        <v>375</v>
      </c>
      <c r="D140" s="73"/>
      <c r="E140" s="73"/>
      <c r="F140" s="57" t="e">
        <f>F143</f>
        <v>#REF!</v>
      </c>
      <c r="G140" s="73"/>
      <c r="H140" s="57">
        <f>H141</f>
        <v>420000</v>
      </c>
      <c r="I140" s="77"/>
      <c r="J140" s="57">
        <f>J141</f>
        <v>420000</v>
      </c>
      <c r="K140" s="77"/>
      <c r="L140" s="57">
        <f>L141</f>
        <v>420000</v>
      </c>
      <c r="M140" s="77"/>
      <c r="N140" s="57">
        <f>N141</f>
        <v>420000</v>
      </c>
      <c r="O140" s="77"/>
      <c r="P140" s="57">
        <f>P141</f>
        <v>420000</v>
      </c>
      <c r="Q140" s="50"/>
      <c r="R140" s="57">
        <f>R141</f>
        <v>420000</v>
      </c>
      <c r="S140" s="50"/>
      <c r="T140" s="57">
        <f>T141</f>
        <v>420000</v>
      </c>
    </row>
    <row r="141" spans="1:20" ht="100.5" customHeight="1">
      <c r="A141" s="24" t="s">
        <v>537</v>
      </c>
      <c r="B141" s="73" t="s">
        <v>368</v>
      </c>
      <c r="C141" s="73" t="s">
        <v>375</v>
      </c>
      <c r="D141" s="73" t="s">
        <v>348</v>
      </c>
      <c r="E141" s="73"/>
      <c r="F141" s="57"/>
      <c r="G141" s="73"/>
      <c r="H141" s="57">
        <f>H142</f>
        <v>420000</v>
      </c>
      <c r="I141" s="77"/>
      <c r="J141" s="57">
        <f>J142</f>
        <v>420000</v>
      </c>
      <c r="K141" s="77"/>
      <c r="L141" s="57">
        <f>L142</f>
        <v>420000</v>
      </c>
      <c r="M141" s="77"/>
      <c r="N141" s="57">
        <f>N142</f>
        <v>420000</v>
      </c>
      <c r="O141" s="77"/>
      <c r="P141" s="57">
        <f>P142</f>
        <v>420000</v>
      </c>
      <c r="Q141" s="50"/>
      <c r="R141" s="57">
        <f>R142</f>
        <v>420000</v>
      </c>
      <c r="S141" s="50"/>
      <c r="T141" s="57">
        <f>T142</f>
        <v>420000</v>
      </c>
    </row>
    <row r="142" spans="1:20" ht="54" customHeight="1">
      <c r="A142" s="24" t="s">
        <v>242</v>
      </c>
      <c r="B142" s="73" t="s">
        <v>368</v>
      </c>
      <c r="C142" s="73" t="s">
        <v>375</v>
      </c>
      <c r="D142" s="73" t="s">
        <v>650</v>
      </c>
      <c r="E142" s="73"/>
      <c r="F142" s="57"/>
      <c r="G142" s="73"/>
      <c r="H142" s="57">
        <f>H143</f>
        <v>420000</v>
      </c>
      <c r="I142" s="77"/>
      <c r="J142" s="57">
        <f>J143</f>
        <v>420000</v>
      </c>
      <c r="K142" s="77"/>
      <c r="L142" s="57">
        <f>L143</f>
        <v>420000</v>
      </c>
      <c r="M142" s="77"/>
      <c r="N142" s="57">
        <f>N143</f>
        <v>420000</v>
      </c>
      <c r="O142" s="77"/>
      <c r="P142" s="57">
        <f>P143</f>
        <v>420000</v>
      </c>
      <c r="Q142" s="50"/>
      <c r="R142" s="57">
        <f>R143</f>
        <v>420000</v>
      </c>
      <c r="S142" s="50"/>
      <c r="T142" s="57">
        <f>T143</f>
        <v>420000</v>
      </c>
    </row>
    <row r="143" spans="1:20" ht="34.5" customHeight="1">
      <c r="A143" s="24" t="s">
        <v>648</v>
      </c>
      <c r="B143" s="73" t="s">
        <v>368</v>
      </c>
      <c r="C143" s="73" t="s">
        <v>375</v>
      </c>
      <c r="D143" s="73" t="s">
        <v>649</v>
      </c>
      <c r="E143" s="73"/>
      <c r="F143" s="57" t="e">
        <f>#REF!</f>
        <v>#REF!</v>
      </c>
      <c r="G143" s="73"/>
      <c r="H143" s="57">
        <f>H144</f>
        <v>420000</v>
      </c>
      <c r="I143" s="77"/>
      <c r="J143" s="57">
        <f>J144</f>
        <v>420000</v>
      </c>
      <c r="K143" s="77"/>
      <c r="L143" s="57">
        <f>L144</f>
        <v>420000</v>
      </c>
      <c r="M143" s="77"/>
      <c r="N143" s="57">
        <f>N144</f>
        <v>420000</v>
      </c>
      <c r="O143" s="77"/>
      <c r="P143" s="57">
        <f>P144</f>
        <v>420000</v>
      </c>
      <c r="Q143" s="50"/>
      <c r="R143" s="57">
        <f>R144</f>
        <v>420000</v>
      </c>
      <c r="S143" s="50"/>
      <c r="T143" s="57">
        <f>T144</f>
        <v>420000</v>
      </c>
    </row>
    <row r="144" spans="1:20" ht="66" customHeight="1">
      <c r="A144" s="53" t="s">
        <v>576</v>
      </c>
      <c r="B144" s="73" t="s">
        <v>368</v>
      </c>
      <c r="C144" s="73" t="s">
        <v>375</v>
      </c>
      <c r="D144" s="73" t="s">
        <v>649</v>
      </c>
      <c r="E144" s="73" t="s">
        <v>482</v>
      </c>
      <c r="F144" s="57">
        <v>0</v>
      </c>
      <c r="G144" s="73" t="s">
        <v>527</v>
      </c>
      <c r="H144" s="57">
        <v>420000</v>
      </c>
      <c r="I144" s="77"/>
      <c r="J144" s="78">
        <f>H144+I144</f>
        <v>420000</v>
      </c>
      <c r="K144" s="77"/>
      <c r="L144" s="78">
        <f>J144+K144</f>
        <v>420000</v>
      </c>
      <c r="M144" s="77"/>
      <c r="N144" s="78">
        <f>L144+M144</f>
        <v>420000</v>
      </c>
      <c r="O144" s="77"/>
      <c r="P144" s="78">
        <f>N144+O144</f>
        <v>420000</v>
      </c>
      <c r="Q144" s="50"/>
      <c r="R144" s="78">
        <f>P144+Q144</f>
        <v>420000</v>
      </c>
      <c r="S144" s="50"/>
      <c r="T144" s="78">
        <f>R144+S144</f>
        <v>420000</v>
      </c>
    </row>
    <row r="145" spans="1:20" ht="21" customHeight="1">
      <c r="A145" s="17" t="s">
        <v>496</v>
      </c>
      <c r="B145" s="73" t="s">
        <v>368</v>
      </c>
      <c r="C145" s="73" t="s">
        <v>497</v>
      </c>
      <c r="D145" s="73"/>
      <c r="E145" s="73"/>
      <c r="F145" s="57" t="e">
        <f>F147+#REF!</f>
        <v>#REF!</v>
      </c>
      <c r="G145" s="73"/>
      <c r="H145" s="57">
        <f>H146</f>
        <v>8303000</v>
      </c>
      <c r="I145" s="77"/>
      <c r="J145" s="57">
        <f>J146</f>
        <v>8303000</v>
      </c>
      <c r="K145" s="77"/>
      <c r="L145" s="57">
        <f>L146</f>
        <v>8303000</v>
      </c>
      <c r="M145" s="77"/>
      <c r="N145" s="57">
        <f>N146</f>
        <v>8303000</v>
      </c>
      <c r="O145" s="77"/>
      <c r="P145" s="57">
        <f>P146</f>
        <v>8303000</v>
      </c>
      <c r="Q145" s="50"/>
      <c r="R145" s="57">
        <f>R146</f>
        <v>8303000</v>
      </c>
      <c r="S145" s="50"/>
      <c r="T145" s="57">
        <f>T146</f>
        <v>8303000</v>
      </c>
    </row>
    <row r="146" spans="1:20" ht="93.75" customHeight="1">
      <c r="A146" s="24" t="s">
        <v>537</v>
      </c>
      <c r="B146" s="73" t="s">
        <v>368</v>
      </c>
      <c r="C146" s="73" t="s">
        <v>497</v>
      </c>
      <c r="D146" s="73" t="s">
        <v>348</v>
      </c>
      <c r="E146" s="73"/>
      <c r="F146" s="57"/>
      <c r="G146" s="73"/>
      <c r="H146" s="57">
        <f>H147</f>
        <v>8303000</v>
      </c>
      <c r="I146" s="77"/>
      <c r="J146" s="57">
        <f>J147</f>
        <v>8303000</v>
      </c>
      <c r="K146" s="77"/>
      <c r="L146" s="57">
        <f>L147</f>
        <v>8303000</v>
      </c>
      <c r="M146" s="77"/>
      <c r="N146" s="57">
        <f>N147</f>
        <v>8303000</v>
      </c>
      <c r="O146" s="77"/>
      <c r="P146" s="57">
        <f>P147</f>
        <v>8303000</v>
      </c>
      <c r="Q146" s="50"/>
      <c r="R146" s="57">
        <f>R147</f>
        <v>8303000</v>
      </c>
      <c r="S146" s="50"/>
      <c r="T146" s="57">
        <f>T147</f>
        <v>8303000</v>
      </c>
    </row>
    <row r="147" spans="1:20" ht="64.5" customHeight="1">
      <c r="A147" s="24" t="s">
        <v>227</v>
      </c>
      <c r="B147" s="73" t="s">
        <v>368</v>
      </c>
      <c r="C147" s="73" t="s">
        <v>497</v>
      </c>
      <c r="D147" s="73" t="s">
        <v>651</v>
      </c>
      <c r="E147" s="73"/>
      <c r="F147" s="57" t="e">
        <f>#REF!</f>
        <v>#REF!</v>
      </c>
      <c r="G147" s="73"/>
      <c r="H147" s="57">
        <f>H148+H150+H152</f>
        <v>8303000</v>
      </c>
      <c r="I147" s="77"/>
      <c r="J147" s="57">
        <f>J148+J150+J152</f>
        <v>8303000</v>
      </c>
      <c r="K147" s="77"/>
      <c r="L147" s="57">
        <f>L148+L150+L152</f>
        <v>8303000</v>
      </c>
      <c r="M147" s="77"/>
      <c r="N147" s="57">
        <f>N148+N150+N152</f>
        <v>8303000</v>
      </c>
      <c r="O147" s="77"/>
      <c r="P147" s="57">
        <f>P148+P150+P152</f>
        <v>8303000</v>
      </c>
      <c r="Q147" s="50"/>
      <c r="R147" s="57">
        <f>R148+R150+R152</f>
        <v>8303000</v>
      </c>
      <c r="S147" s="50"/>
      <c r="T147" s="57">
        <f>T148+T150+T152</f>
        <v>8303000</v>
      </c>
    </row>
    <row r="148" spans="1:20" ht="63.75" customHeight="1">
      <c r="A148" s="47" t="s">
        <v>653</v>
      </c>
      <c r="B148" s="73" t="s">
        <v>368</v>
      </c>
      <c r="C148" s="73" t="s">
        <v>497</v>
      </c>
      <c r="D148" s="73" t="s">
        <v>652</v>
      </c>
      <c r="E148" s="73"/>
      <c r="F148" s="57"/>
      <c r="G148" s="73"/>
      <c r="H148" s="57">
        <f>H149</f>
        <v>3000000</v>
      </c>
      <c r="I148" s="77"/>
      <c r="J148" s="57">
        <f>J149</f>
        <v>3000000</v>
      </c>
      <c r="K148" s="77"/>
      <c r="L148" s="57">
        <f>L149</f>
        <v>3000000</v>
      </c>
      <c r="M148" s="77"/>
      <c r="N148" s="57">
        <f>N149</f>
        <v>3000000</v>
      </c>
      <c r="O148" s="77"/>
      <c r="P148" s="57">
        <f>P149</f>
        <v>3000000</v>
      </c>
      <c r="Q148" s="50"/>
      <c r="R148" s="57">
        <f>R149</f>
        <v>3000000</v>
      </c>
      <c r="S148" s="50"/>
      <c r="T148" s="57">
        <f>T149</f>
        <v>3000000</v>
      </c>
    </row>
    <row r="149" spans="1:20" ht="39" customHeight="1">
      <c r="A149" s="17" t="s">
        <v>491</v>
      </c>
      <c r="B149" s="83" t="s">
        <v>368</v>
      </c>
      <c r="C149" s="83" t="s">
        <v>497</v>
      </c>
      <c r="D149" s="83" t="s">
        <v>652</v>
      </c>
      <c r="E149" s="83" t="s">
        <v>463</v>
      </c>
      <c r="F149" s="57"/>
      <c r="G149" s="73"/>
      <c r="H149" s="57">
        <v>3000000</v>
      </c>
      <c r="I149" s="77"/>
      <c r="J149" s="78">
        <f>H149+I149</f>
        <v>3000000</v>
      </c>
      <c r="K149" s="77"/>
      <c r="L149" s="78">
        <f>J149+K149</f>
        <v>3000000</v>
      </c>
      <c r="M149" s="77"/>
      <c r="N149" s="78">
        <f>L149+M149</f>
        <v>3000000</v>
      </c>
      <c r="O149" s="77"/>
      <c r="P149" s="78">
        <f>N149+O149</f>
        <v>3000000</v>
      </c>
      <c r="Q149" s="50"/>
      <c r="R149" s="78">
        <f>P149+Q149</f>
        <v>3000000</v>
      </c>
      <c r="S149" s="50"/>
      <c r="T149" s="78">
        <f>R149+S149</f>
        <v>3000000</v>
      </c>
    </row>
    <row r="150" spans="1:20" ht="63" customHeight="1">
      <c r="A150" s="47" t="s">
        <v>654</v>
      </c>
      <c r="B150" s="73" t="s">
        <v>368</v>
      </c>
      <c r="C150" s="73" t="s">
        <v>497</v>
      </c>
      <c r="D150" s="73" t="s">
        <v>655</v>
      </c>
      <c r="E150" s="73"/>
      <c r="F150" s="57"/>
      <c r="G150" s="73"/>
      <c r="H150" s="57">
        <f>H151</f>
        <v>4303000</v>
      </c>
      <c r="I150" s="77"/>
      <c r="J150" s="57">
        <f>J151</f>
        <v>4303000</v>
      </c>
      <c r="K150" s="77"/>
      <c r="L150" s="57">
        <f>L151</f>
        <v>4303000</v>
      </c>
      <c r="M150" s="77"/>
      <c r="N150" s="57">
        <f>N151</f>
        <v>4303000</v>
      </c>
      <c r="O150" s="77"/>
      <c r="P150" s="57">
        <f>P151</f>
        <v>4303000</v>
      </c>
      <c r="Q150" s="50"/>
      <c r="R150" s="57">
        <f>R151</f>
        <v>4303000</v>
      </c>
      <c r="S150" s="50"/>
      <c r="T150" s="57">
        <f>T151</f>
        <v>4303000</v>
      </c>
    </row>
    <row r="151" spans="1:20" ht="38.25" customHeight="1">
      <c r="A151" s="17" t="s">
        <v>491</v>
      </c>
      <c r="B151" s="83" t="s">
        <v>368</v>
      </c>
      <c r="C151" s="83" t="s">
        <v>497</v>
      </c>
      <c r="D151" s="83" t="s">
        <v>655</v>
      </c>
      <c r="E151" s="83" t="s">
        <v>463</v>
      </c>
      <c r="F151" s="57"/>
      <c r="G151" s="73"/>
      <c r="H151" s="57">
        <v>4303000</v>
      </c>
      <c r="I151" s="77"/>
      <c r="J151" s="78">
        <f>H151+I151</f>
        <v>4303000</v>
      </c>
      <c r="K151" s="77"/>
      <c r="L151" s="78">
        <f>J151+K151</f>
        <v>4303000</v>
      </c>
      <c r="M151" s="77"/>
      <c r="N151" s="78">
        <f>L151+M151</f>
        <v>4303000</v>
      </c>
      <c r="O151" s="77"/>
      <c r="P151" s="78">
        <f>N151+O151</f>
        <v>4303000</v>
      </c>
      <c r="Q151" s="50"/>
      <c r="R151" s="78">
        <f>P151+Q151</f>
        <v>4303000</v>
      </c>
      <c r="S151" s="50"/>
      <c r="T151" s="78">
        <f>R151+S151</f>
        <v>4303000</v>
      </c>
    </row>
    <row r="152" spans="1:20" ht="51" customHeight="1">
      <c r="A152" s="24" t="s">
        <v>656</v>
      </c>
      <c r="B152" s="73" t="s">
        <v>368</v>
      </c>
      <c r="C152" s="73" t="s">
        <v>497</v>
      </c>
      <c r="D152" s="73" t="s">
        <v>657</v>
      </c>
      <c r="E152" s="73"/>
      <c r="F152" s="57"/>
      <c r="G152" s="73"/>
      <c r="H152" s="57">
        <f>H153</f>
        <v>1000000</v>
      </c>
      <c r="I152" s="77"/>
      <c r="J152" s="57">
        <f>J153</f>
        <v>1000000</v>
      </c>
      <c r="K152" s="77"/>
      <c r="L152" s="57">
        <f>L153</f>
        <v>1000000</v>
      </c>
      <c r="M152" s="77"/>
      <c r="N152" s="57">
        <f>N153</f>
        <v>1000000</v>
      </c>
      <c r="O152" s="77"/>
      <c r="P152" s="57">
        <f>P153</f>
        <v>1000000</v>
      </c>
      <c r="Q152" s="50"/>
      <c r="R152" s="57">
        <f>R153</f>
        <v>1000000</v>
      </c>
      <c r="S152" s="50"/>
      <c r="T152" s="57">
        <f>T153</f>
        <v>1000000</v>
      </c>
    </row>
    <row r="153" spans="1:20" ht="39.75" customHeight="1">
      <c r="A153" s="17" t="s">
        <v>491</v>
      </c>
      <c r="B153" s="83" t="s">
        <v>368</v>
      </c>
      <c r="C153" s="83" t="s">
        <v>497</v>
      </c>
      <c r="D153" s="83" t="s">
        <v>657</v>
      </c>
      <c r="E153" s="83" t="s">
        <v>463</v>
      </c>
      <c r="F153" s="57"/>
      <c r="G153" s="73"/>
      <c r="H153" s="57">
        <v>1000000</v>
      </c>
      <c r="I153" s="77"/>
      <c r="J153" s="78">
        <f>H153+I153</f>
        <v>1000000</v>
      </c>
      <c r="K153" s="77"/>
      <c r="L153" s="78">
        <f>J153+K153</f>
        <v>1000000</v>
      </c>
      <c r="M153" s="77"/>
      <c r="N153" s="78">
        <f>L153+M153</f>
        <v>1000000</v>
      </c>
      <c r="O153" s="77"/>
      <c r="P153" s="78">
        <f>N153+O153</f>
        <v>1000000</v>
      </c>
      <c r="Q153" s="50"/>
      <c r="R153" s="78">
        <f>P153+Q153</f>
        <v>1000000</v>
      </c>
      <c r="S153" s="50"/>
      <c r="T153" s="78">
        <f>R153+S153</f>
        <v>1000000</v>
      </c>
    </row>
    <row r="154" spans="1:20" ht="21" customHeight="1">
      <c r="A154" s="17" t="s">
        <v>433</v>
      </c>
      <c r="B154" s="73" t="s">
        <v>368</v>
      </c>
      <c r="C154" s="73" t="s">
        <v>434</v>
      </c>
      <c r="D154" s="73"/>
      <c r="E154" s="73"/>
      <c r="F154" s="79" t="e">
        <f>#REF!+F157</f>
        <v>#REF!</v>
      </c>
      <c r="G154" s="73"/>
      <c r="H154" s="79">
        <f>H155</f>
        <v>87000</v>
      </c>
      <c r="I154" s="77"/>
      <c r="J154" s="79">
        <f>J155</f>
        <v>87000</v>
      </c>
      <c r="K154" s="77"/>
      <c r="L154" s="79">
        <f>L155</f>
        <v>528580</v>
      </c>
      <c r="M154" s="77"/>
      <c r="N154" s="79">
        <f>N155</f>
        <v>528580</v>
      </c>
      <c r="O154" s="77"/>
      <c r="P154" s="79">
        <f>P155</f>
        <v>528580</v>
      </c>
      <c r="Q154" s="50"/>
      <c r="R154" s="79">
        <f>R155</f>
        <v>528580</v>
      </c>
      <c r="S154" s="50"/>
      <c r="T154" s="79">
        <f>T155</f>
        <v>528580</v>
      </c>
    </row>
    <row r="155" spans="1:20" ht="81.75" customHeight="1">
      <c r="A155" s="14" t="s">
        <v>105</v>
      </c>
      <c r="B155" s="73" t="s">
        <v>368</v>
      </c>
      <c r="C155" s="73" t="s">
        <v>434</v>
      </c>
      <c r="D155" s="73" t="s">
        <v>106</v>
      </c>
      <c r="E155" s="73"/>
      <c r="F155" s="79"/>
      <c r="G155" s="73"/>
      <c r="H155" s="79">
        <f>H156</f>
        <v>87000</v>
      </c>
      <c r="I155" s="77"/>
      <c r="J155" s="79">
        <f>J156</f>
        <v>87000</v>
      </c>
      <c r="K155" s="77"/>
      <c r="L155" s="79">
        <f>L156</f>
        <v>528580</v>
      </c>
      <c r="M155" s="77"/>
      <c r="N155" s="79">
        <f>N156</f>
        <v>528580</v>
      </c>
      <c r="O155" s="77"/>
      <c r="P155" s="79">
        <f>P156</f>
        <v>528580</v>
      </c>
      <c r="Q155" s="50"/>
      <c r="R155" s="79">
        <f>R156</f>
        <v>528580</v>
      </c>
      <c r="S155" s="50"/>
      <c r="T155" s="79">
        <f>T156</f>
        <v>528580</v>
      </c>
    </row>
    <row r="156" spans="1:20" ht="43.5" customHeight="1">
      <c r="A156" s="12" t="s">
        <v>216</v>
      </c>
      <c r="B156" s="73" t="s">
        <v>368</v>
      </c>
      <c r="C156" s="73" t="s">
        <v>434</v>
      </c>
      <c r="D156" s="73" t="s">
        <v>240</v>
      </c>
      <c r="E156" s="73"/>
      <c r="F156" s="79"/>
      <c r="G156" s="73"/>
      <c r="H156" s="79">
        <f>H157</f>
        <v>87000</v>
      </c>
      <c r="I156" s="77"/>
      <c r="J156" s="79">
        <f>J157</f>
        <v>87000</v>
      </c>
      <c r="K156" s="77"/>
      <c r="L156" s="79">
        <f>L157+L159+L161+L163</f>
        <v>528580</v>
      </c>
      <c r="M156" s="77"/>
      <c r="N156" s="79">
        <f>N157+N159+N161+N163</f>
        <v>528580</v>
      </c>
      <c r="O156" s="77"/>
      <c r="P156" s="79">
        <f>P157+P159+P161+P163</f>
        <v>528580</v>
      </c>
      <c r="Q156" s="50"/>
      <c r="R156" s="79">
        <f>R157+R159+R161+R163</f>
        <v>528580</v>
      </c>
      <c r="S156" s="50"/>
      <c r="T156" s="79">
        <f>T157+T159+T161+T163</f>
        <v>528580</v>
      </c>
    </row>
    <row r="157" spans="1:20" ht="49.5" customHeight="1">
      <c r="A157" s="12" t="s">
        <v>241</v>
      </c>
      <c r="B157" s="73" t="s">
        <v>368</v>
      </c>
      <c r="C157" s="73" t="s">
        <v>434</v>
      </c>
      <c r="D157" s="73" t="s">
        <v>215</v>
      </c>
      <c r="E157" s="73"/>
      <c r="F157" s="57">
        <f>F158</f>
        <v>0</v>
      </c>
      <c r="G157" s="73"/>
      <c r="H157" s="57">
        <f>H158</f>
        <v>87000</v>
      </c>
      <c r="I157" s="77"/>
      <c r="J157" s="57">
        <f>J158</f>
        <v>87000</v>
      </c>
      <c r="K157" s="77"/>
      <c r="L157" s="57">
        <f>L158</f>
        <v>87000</v>
      </c>
      <c r="M157" s="77"/>
      <c r="N157" s="57">
        <f>N158</f>
        <v>87000</v>
      </c>
      <c r="O157" s="77"/>
      <c r="P157" s="57">
        <f>P158</f>
        <v>87000</v>
      </c>
      <c r="Q157" s="50"/>
      <c r="R157" s="57">
        <f>R158</f>
        <v>87000</v>
      </c>
      <c r="S157" s="50"/>
      <c r="T157" s="57">
        <f>T158</f>
        <v>87000</v>
      </c>
    </row>
    <row r="158" spans="1:20" ht="48.75" customHeight="1">
      <c r="A158" s="27" t="s">
        <v>467</v>
      </c>
      <c r="B158" s="73" t="s">
        <v>368</v>
      </c>
      <c r="C158" s="73" t="s">
        <v>434</v>
      </c>
      <c r="D158" s="73" t="s">
        <v>215</v>
      </c>
      <c r="E158" s="73" t="s">
        <v>462</v>
      </c>
      <c r="F158" s="57">
        <v>0</v>
      </c>
      <c r="G158" s="73" t="s">
        <v>528</v>
      </c>
      <c r="H158" s="57">
        <v>87000</v>
      </c>
      <c r="I158" s="77"/>
      <c r="J158" s="78">
        <f>H158+I158</f>
        <v>87000</v>
      </c>
      <c r="K158" s="77"/>
      <c r="L158" s="78">
        <f>J158+K158</f>
        <v>87000</v>
      </c>
      <c r="M158" s="77"/>
      <c r="N158" s="78">
        <f>L158+M158</f>
        <v>87000</v>
      </c>
      <c r="O158" s="77"/>
      <c r="P158" s="78">
        <f>N158+O158</f>
        <v>87000</v>
      </c>
      <c r="Q158" s="50"/>
      <c r="R158" s="78">
        <f>P158+Q158</f>
        <v>87000</v>
      </c>
      <c r="S158" s="50"/>
      <c r="T158" s="78">
        <f>R158+S158</f>
        <v>87000</v>
      </c>
    </row>
    <row r="159" spans="1:20" ht="83.25" customHeight="1">
      <c r="A159" s="27" t="s">
        <v>294</v>
      </c>
      <c r="B159" s="73" t="s">
        <v>368</v>
      </c>
      <c r="C159" s="73" t="s">
        <v>434</v>
      </c>
      <c r="D159" s="73" t="s">
        <v>295</v>
      </c>
      <c r="E159" s="73"/>
      <c r="F159" s="57"/>
      <c r="G159" s="73"/>
      <c r="H159" s="57"/>
      <c r="I159" s="77"/>
      <c r="J159" s="78"/>
      <c r="K159" s="77"/>
      <c r="L159" s="78">
        <f>L160</f>
        <v>29166</v>
      </c>
      <c r="M159" s="77"/>
      <c r="N159" s="78">
        <f>N160</f>
        <v>29166</v>
      </c>
      <c r="O159" s="77"/>
      <c r="P159" s="78">
        <f>P160</f>
        <v>29166</v>
      </c>
      <c r="Q159" s="50"/>
      <c r="R159" s="78">
        <f>R160</f>
        <v>29166</v>
      </c>
      <c r="S159" s="50"/>
      <c r="T159" s="78">
        <f>T160</f>
        <v>29166</v>
      </c>
    </row>
    <row r="160" spans="1:20" ht="48.75" customHeight="1">
      <c r="A160" s="27" t="s">
        <v>467</v>
      </c>
      <c r="B160" s="73" t="s">
        <v>368</v>
      </c>
      <c r="C160" s="73" t="s">
        <v>434</v>
      </c>
      <c r="D160" s="73" t="s">
        <v>295</v>
      </c>
      <c r="E160" s="73" t="s">
        <v>462</v>
      </c>
      <c r="F160" s="57"/>
      <c r="G160" s="73"/>
      <c r="H160" s="57"/>
      <c r="I160" s="77"/>
      <c r="J160" s="78"/>
      <c r="K160" s="77">
        <v>29166</v>
      </c>
      <c r="L160" s="78">
        <f>J160+K160</f>
        <v>29166</v>
      </c>
      <c r="M160" s="77"/>
      <c r="N160" s="78">
        <f>L160+M160</f>
        <v>29166</v>
      </c>
      <c r="O160" s="77"/>
      <c r="P160" s="78">
        <f>N160+O160</f>
        <v>29166</v>
      </c>
      <c r="Q160" s="50"/>
      <c r="R160" s="78">
        <f>P160+Q160</f>
        <v>29166</v>
      </c>
      <c r="S160" s="50"/>
      <c r="T160" s="78">
        <f>R160+S160</f>
        <v>29166</v>
      </c>
    </row>
    <row r="161" spans="1:20" ht="48.75" customHeight="1">
      <c r="A161" s="27" t="s">
        <v>296</v>
      </c>
      <c r="B161" s="73" t="s">
        <v>368</v>
      </c>
      <c r="C161" s="73" t="s">
        <v>434</v>
      </c>
      <c r="D161" s="73" t="s">
        <v>297</v>
      </c>
      <c r="E161" s="73"/>
      <c r="F161" s="57"/>
      <c r="G161" s="73"/>
      <c r="H161" s="57"/>
      <c r="I161" s="77"/>
      <c r="J161" s="78"/>
      <c r="K161" s="77"/>
      <c r="L161" s="78">
        <f>L162</f>
        <v>103314</v>
      </c>
      <c r="M161" s="77"/>
      <c r="N161" s="78">
        <f>N162</f>
        <v>103314</v>
      </c>
      <c r="O161" s="77"/>
      <c r="P161" s="78">
        <f>P162</f>
        <v>103314</v>
      </c>
      <c r="Q161" s="50"/>
      <c r="R161" s="78">
        <f>R162</f>
        <v>103314</v>
      </c>
      <c r="S161" s="50"/>
      <c r="T161" s="78">
        <f>T162</f>
        <v>103314</v>
      </c>
    </row>
    <row r="162" spans="1:20" ht="48.75" customHeight="1">
      <c r="A162" s="27" t="s">
        <v>467</v>
      </c>
      <c r="B162" s="73" t="s">
        <v>368</v>
      </c>
      <c r="C162" s="73" t="s">
        <v>434</v>
      </c>
      <c r="D162" s="73" t="s">
        <v>297</v>
      </c>
      <c r="E162" s="73" t="s">
        <v>462</v>
      </c>
      <c r="F162" s="57"/>
      <c r="G162" s="73"/>
      <c r="H162" s="57"/>
      <c r="I162" s="77"/>
      <c r="J162" s="78"/>
      <c r="K162" s="77">
        <v>103314</v>
      </c>
      <c r="L162" s="78">
        <f>J162+K162</f>
        <v>103314</v>
      </c>
      <c r="M162" s="77"/>
      <c r="N162" s="78">
        <f>L162+M162</f>
        <v>103314</v>
      </c>
      <c r="O162" s="77"/>
      <c r="P162" s="78">
        <f>N162+O162</f>
        <v>103314</v>
      </c>
      <c r="Q162" s="50"/>
      <c r="R162" s="78">
        <f>P162+Q162</f>
        <v>103314</v>
      </c>
      <c r="S162" s="50"/>
      <c r="T162" s="78">
        <f>R162+S162</f>
        <v>103314</v>
      </c>
    </row>
    <row r="163" spans="1:20" ht="48.75" customHeight="1">
      <c r="A163" s="27" t="s">
        <v>303</v>
      </c>
      <c r="B163" s="73" t="s">
        <v>368</v>
      </c>
      <c r="C163" s="73" t="s">
        <v>434</v>
      </c>
      <c r="D163" s="73" t="s">
        <v>302</v>
      </c>
      <c r="E163" s="73"/>
      <c r="F163" s="57"/>
      <c r="G163" s="73"/>
      <c r="H163" s="57"/>
      <c r="I163" s="77"/>
      <c r="J163" s="78"/>
      <c r="K163" s="77"/>
      <c r="L163" s="78">
        <f>L164</f>
        <v>309100</v>
      </c>
      <c r="M163" s="77"/>
      <c r="N163" s="78">
        <f>N164</f>
        <v>309100</v>
      </c>
      <c r="O163" s="77"/>
      <c r="P163" s="78">
        <f>P164</f>
        <v>309100</v>
      </c>
      <c r="Q163" s="50"/>
      <c r="R163" s="78">
        <f>R164</f>
        <v>309100</v>
      </c>
      <c r="S163" s="50"/>
      <c r="T163" s="78">
        <f>T164</f>
        <v>309100</v>
      </c>
    </row>
    <row r="164" spans="1:20" ht="48.75" customHeight="1">
      <c r="A164" s="27" t="s">
        <v>467</v>
      </c>
      <c r="B164" s="73" t="s">
        <v>368</v>
      </c>
      <c r="C164" s="73" t="s">
        <v>434</v>
      </c>
      <c r="D164" s="73" t="s">
        <v>302</v>
      </c>
      <c r="E164" s="73" t="s">
        <v>462</v>
      </c>
      <c r="F164" s="57"/>
      <c r="G164" s="73"/>
      <c r="H164" s="57"/>
      <c r="I164" s="77"/>
      <c r="J164" s="78"/>
      <c r="K164" s="77">
        <v>309100</v>
      </c>
      <c r="L164" s="78">
        <f>J164+K164</f>
        <v>309100</v>
      </c>
      <c r="M164" s="77"/>
      <c r="N164" s="78">
        <f>L164+M164</f>
        <v>309100</v>
      </c>
      <c r="O164" s="77"/>
      <c r="P164" s="78">
        <f>N164+O164</f>
        <v>309100</v>
      </c>
      <c r="Q164" s="50"/>
      <c r="R164" s="78">
        <f>P164+Q164</f>
        <v>309100</v>
      </c>
      <c r="S164" s="50"/>
      <c r="T164" s="78">
        <f>R164+S164</f>
        <v>309100</v>
      </c>
    </row>
    <row r="165" spans="1:20" ht="36" customHeight="1">
      <c r="A165" s="12" t="s">
        <v>406</v>
      </c>
      <c r="B165" s="73" t="s">
        <v>368</v>
      </c>
      <c r="C165" s="73" t="s">
        <v>373</v>
      </c>
      <c r="D165" s="73"/>
      <c r="E165" s="73"/>
      <c r="F165" s="57" t="e">
        <f>#REF!+#REF!+#REF!+#REF!</f>
        <v>#REF!</v>
      </c>
      <c r="G165" s="73"/>
      <c r="H165" s="57">
        <f>H166+H171</f>
        <v>437000</v>
      </c>
      <c r="I165" s="77"/>
      <c r="J165" s="57">
        <f>J166+J171</f>
        <v>1057000</v>
      </c>
      <c r="K165" s="77"/>
      <c r="L165" s="57">
        <f>L166+L171</f>
        <v>1057000</v>
      </c>
      <c r="M165" s="77"/>
      <c r="N165" s="57">
        <f>N166+N171</f>
        <v>1057000</v>
      </c>
      <c r="O165" s="77"/>
      <c r="P165" s="57">
        <f>P166+P171</f>
        <v>1057000</v>
      </c>
      <c r="Q165" s="50"/>
      <c r="R165" s="57">
        <f>R166+R171</f>
        <v>1057000</v>
      </c>
      <c r="S165" s="50"/>
      <c r="T165" s="57">
        <f>T166+T171</f>
        <v>1057000</v>
      </c>
    </row>
    <row r="166" spans="1:20" ht="83.25" customHeight="1">
      <c r="A166" s="28" t="s">
        <v>658</v>
      </c>
      <c r="B166" s="73" t="s">
        <v>368</v>
      </c>
      <c r="C166" s="73" t="s">
        <v>373</v>
      </c>
      <c r="D166" s="73" t="s">
        <v>659</v>
      </c>
      <c r="E166" s="73"/>
      <c r="F166" s="57"/>
      <c r="G166" s="73"/>
      <c r="H166" s="57">
        <f>H167</f>
        <v>387000</v>
      </c>
      <c r="I166" s="77"/>
      <c r="J166" s="57">
        <f>J167+J169</f>
        <v>1007000</v>
      </c>
      <c r="K166" s="77"/>
      <c r="L166" s="57">
        <f>L167+L169</f>
        <v>1007000</v>
      </c>
      <c r="M166" s="77"/>
      <c r="N166" s="57">
        <f>N167+N169</f>
        <v>1007000</v>
      </c>
      <c r="O166" s="77"/>
      <c r="P166" s="57">
        <f>P167+P169</f>
        <v>1007000</v>
      </c>
      <c r="Q166" s="50"/>
      <c r="R166" s="57">
        <f>R167+R169</f>
        <v>1007000</v>
      </c>
      <c r="S166" s="50"/>
      <c r="T166" s="57">
        <f>T167+T169</f>
        <v>1007000</v>
      </c>
    </row>
    <row r="167" spans="1:20" ht="37.5" customHeight="1">
      <c r="A167" s="12" t="s">
        <v>660</v>
      </c>
      <c r="B167" s="73" t="s">
        <v>368</v>
      </c>
      <c r="C167" s="73" t="s">
        <v>373</v>
      </c>
      <c r="D167" s="73" t="s">
        <v>661</v>
      </c>
      <c r="E167" s="73"/>
      <c r="F167" s="57"/>
      <c r="G167" s="73"/>
      <c r="H167" s="57">
        <f>H168</f>
        <v>387000</v>
      </c>
      <c r="I167" s="77"/>
      <c r="J167" s="57">
        <f>J168</f>
        <v>387000</v>
      </c>
      <c r="K167" s="77"/>
      <c r="L167" s="57">
        <f>L168</f>
        <v>387000</v>
      </c>
      <c r="M167" s="77"/>
      <c r="N167" s="57">
        <f>N168</f>
        <v>387000</v>
      </c>
      <c r="O167" s="77"/>
      <c r="P167" s="57">
        <f>P168</f>
        <v>387000</v>
      </c>
      <c r="Q167" s="50"/>
      <c r="R167" s="57">
        <f>R168</f>
        <v>387000</v>
      </c>
      <c r="S167" s="50"/>
      <c r="T167" s="57">
        <f>T168</f>
        <v>387000</v>
      </c>
    </row>
    <row r="168" spans="1:20" ht="36" customHeight="1">
      <c r="A168" s="12" t="s">
        <v>494</v>
      </c>
      <c r="B168" s="73" t="s">
        <v>368</v>
      </c>
      <c r="C168" s="73" t="s">
        <v>373</v>
      </c>
      <c r="D168" s="73" t="s">
        <v>661</v>
      </c>
      <c r="E168" s="73" t="s">
        <v>463</v>
      </c>
      <c r="F168" s="57"/>
      <c r="G168" s="73"/>
      <c r="H168" s="57">
        <v>387000</v>
      </c>
      <c r="I168" s="77"/>
      <c r="J168" s="78">
        <f>H168+I168</f>
        <v>387000</v>
      </c>
      <c r="K168" s="77"/>
      <c r="L168" s="78">
        <f>J168+K168</f>
        <v>387000</v>
      </c>
      <c r="M168" s="77"/>
      <c r="N168" s="78">
        <f>L168+M168</f>
        <v>387000</v>
      </c>
      <c r="O168" s="77"/>
      <c r="P168" s="78">
        <f>N168+O168</f>
        <v>387000</v>
      </c>
      <c r="Q168" s="50"/>
      <c r="R168" s="78">
        <f>P168+Q168</f>
        <v>387000</v>
      </c>
      <c r="S168" s="50"/>
      <c r="T168" s="78">
        <f>R168+S168</f>
        <v>387000</v>
      </c>
    </row>
    <row r="169" spans="1:20" ht="50.25" customHeight="1">
      <c r="A169" s="52" t="s">
        <v>261</v>
      </c>
      <c r="B169" s="86" t="s">
        <v>368</v>
      </c>
      <c r="C169" s="87" t="s">
        <v>373</v>
      </c>
      <c r="D169" s="86" t="s">
        <v>262</v>
      </c>
      <c r="E169" s="73"/>
      <c r="F169" s="57"/>
      <c r="G169" s="73"/>
      <c r="H169" s="57"/>
      <c r="I169" s="77"/>
      <c r="J169" s="78">
        <f>J170</f>
        <v>620000</v>
      </c>
      <c r="K169" s="77"/>
      <c r="L169" s="78">
        <f>L170</f>
        <v>620000</v>
      </c>
      <c r="M169" s="77"/>
      <c r="N169" s="78">
        <f>N170</f>
        <v>620000</v>
      </c>
      <c r="O169" s="77"/>
      <c r="P169" s="78">
        <f>P170</f>
        <v>620000</v>
      </c>
      <c r="Q169" s="50"/>
      <c r="R169" s="78">
        <f>R170</f>
        <v>620000</v>
      </c>
      <c r="S169" s="50"/>
      <c r="T169" s="78">
        <f>T170</f>
        <v>620000</v>
      </c>
    </row>
    <row r="170" spans="1:20" ht="36" customHeight="1">
      <c r="A170" s="53" t="s">
        <v>494</v>
      </c>
      <c r="B170" s="86" t="s">
        <v>368</v>
      </c>
      <c r="C170" s="86" t="s">
        <v>373</v>
      </c>
      <c r="D170" s="86" t="s">
        <v>262</v>
      </c>
      <c r="E170" s="73" t="s">
        <v>463</v>
      </c>
      <c r="F170" s="57"/>
      <c r="G170" s="73"/>
      <c r="H170" s="57"/>
      <c r="I170" s="88">
        <v>620000</v>
      </c>
      <c r="J170" s="78">
        <f>H170+I170</f>
        <v>620000</v>
      </c>
      <c r="K170" s="77"/>
      <c r="L170" s="78">
        <f>J170+K170</f>
        <v>620000</v>
      </c>
      <c r="M170" s="77"/>
      <c r="N170" s="78">
        <f>L170+M170</f>
        <v>620000</v>
      </c>
      <c r="O170" s="77"/>
      <c r="P170" s="78">
        <f>N170+O170</f>
        <v>620000</v>
      </c>
      <c r="Q170" s="50"/>
      <c r="R170" s="78">
        <f>P170+Q170</f>
        <v>620000</v>
      </c>
      <c r="S170" s="50"/>
      <c r="T170" s="78">
        <f>R170+S170</f>
        <v>620000</v>
      </c>
    </row>
    <row r="171" spans="1:20" ht="147" customHeight="1">
      <c r="A171" s="12" t="s">
        <v>646</v>
      </c>
      <c r="B171" s="73" t="s">
        <v>368</v>
      </c>
      <c r="C171" s="73" t="s">
        <v>373</v>
      </c>
      <c r="D171" s="73" t="s">
        <v>640</v>
      </c>
      <c r="E171" s="73"/>
      <c r="F171" s="57"/>
      <c r="G171" s="73"/>
      <c r="H171" s="57">
        <f>H172</f>
        <v>50000</v>
      </c>
      <c r="I171" s="77"/>
      <c r="J171" s="57">
        <f>J172</f>
        <v>50000</v>
      </c>
      <c r="K171" s="77"/>
      <c r="L171" s="57">
        <f>L172</f>
        <v>50000</v>
      </c>
      <c r="M171" s="77"/>
      <c r="N171" s="57">
        <f>N172</f>
        <v>50000</v>
      </c>
      <c r="O171" s="77"/>
      <c r="P171" s="57">
        <f>P172</f>
        <v>50000</v>
      </c>
      <c r="Q171" s="50"/>
      <c r="R171" s="57">
        <f>R172</f>
        <v>50000</v>
      </c>
      <c r="S171" s="50"/>
      <c r="T171" s="57">
        <f>T172</f>
        <v>50000</v>
      </c>
    </row>
    <row r="172" spans="1:20" ht="87.75" customHeight="1">
      <c r="A172" s="48" t="s">
        <v>151</v>
      </c>
      <c r="B172" s="73" t="s">
        <v>368</v>
      </c>
      <c r="C172" s="73" t="s">
        <v>373</v>
      </c>
      <c r="D172" s="73" t="s">
        <v>647</v>
      </c>
      <c r="E172" s="73"/>
      <c r="F172" s="57"/>
      <c r="G172" s="73"/>
      <c r="H172" s="57">
        <f>H173</f>
        <v>50000</v>
      </c>
      <c r="I172" s="77"/>
      <c r="J172" s="57">
        <f>J173</f>
        <v>50000</v>
      </c>
      <c r="K172" s="77"/>
      <c r="L172" s="57">
        <f>L173</f>
        <v>50000</v>
      </c>
      <c r="M172" s="77"/>
      <c r="N172" s="57">
        <f>N173</f>
        <v>50000</v>
      </c>
      <c r="O172" s="77"/>
      <c r="P172" s="57">
        <f>P173</f>
        <v>50000</v>
      </c>
      <c r="Q172" s="50"/>
      <c r="R172" s="57">
        <f>R173</f>
        <v>50000</v>
      </c>
      <c r="S172" s="50"/>
      <c r="T172" s="57">
        <f>T173</f>
        <v>50000</v>
      </c>
    </row>
    <row r="173" spans="1:20" ht="36.75" customHeight="1">
      <c r="A173" s="12" t="s">
        <v>498</v>
      </c>
      <c r="B173" s="73" t="s">
        <v>368</v>
      </c>
      <c r="C173" s="73" t="s">
        <v>373</v>
      </c>
      <c r="D173" s="73" t="s">
        <v>205</v>
      </c>
      <c r="E173" s="73"/>
      <c r="F173" s="57"/>
      <c r="G173" s="73"/>
      <c r="H173" s="57">
        <f>H174</f>
        <v>50000</v>
      </c>
      <c r="I173" s="77"/>
      <c r="J173" s="57">
        <f>J174</f>
        <v>50000</v>
      </c>
      <c r="K173" s="77"/>
      <c r="L173" s="57">
        <f>L174</f>
        <v>50000</v>
      </c>
      <c r="M173" s="77"/>
      <c r="N173" s="57">
        <f>N174</f>
        <v>50000</v>
      </c>
      <c r="O173" s="77"/>
      <c r="P173" s="57">
        <f>P174</f>
        <v>50000</v>
      </c>
      <c r="Q173" s="50"/>
      <c r="R173" s="57">
        <f>R174</f>
        <v>50000</v>
      </c>
      <c r="S173" s="50"/>
      <c r="T173" s="57">
        <f>T174</f>
        <v>50000</v>
      </c>
    </row>
    <row r="174" spans="1:20" ht="60.75" customHeight="1">
      <c r="A174" s="12" t="s">
        <v>337</v>
      </c>
      <c r="B174" s="73" t="s">
        <v>368</v>
      </c>
      <c r="C174" s="73" t="s">
        <v>373</v>
      </c>
      <c r="D174" s="73" t="s">
        <v>205</v>
      </c>
      <c r="E174" s="73" t="s">
        <v>336</v>
      </c>
      <c r="F174" s="57"/>
      <c r="G174" s="73"/>
      <c r="H174" s="57">
        <v>50000</v>
      </c>
      <c r="I174" s="77"/>
      <c r="J174" s="78">
        <f>H174+I174</f>
        <v>50000</v>
      </c>
      <c r="K174" s="77"/>
      <c r="L174" s="78">
        <f>J174+K174</f>
        <v>50000</v>
      </c>
      <c r="M174" s="77"/>
      <c r="N174" s="78">
        <f>L174+M174</f>
        <v>50000</v>
      </c>
      <c r="O174" s="77"/>
      <c r="P174" s="78">
        <f>N174+O174</f>
        <v>50000</v>
      </c>
      <c r="Q174" s="50"/>
      <c r="R174" s="78">
        <f>P174+Q174</f>
        <v>50000</v>
      </c>
      <c r="S174" s="50"/>
      <c r="T174" s="78">
        <f>R174+S174</f>
        <v>50000</v>
      </c>
    </row>
    <row r="175" spans="1:20" ht="25.5" customHeight="1">
      <c r="A175" s="67" t="s">
        <v>407</v>
      </c>
      <c r="B175" s="73">
        <v>901</v>
      </c>
      <c r="C175" s="73" t="s">
        <v>358</v>
      </c>
      <c r="D175" s="73"/>
      <c r="E175" s="73"/>
      <c r="F175" s="57" t="e">
        <f>F176+F183+F227+F238</f>
        <v>#REF!</v>
      </c>
      <c r="G175" s="73"/>
      <c r="H175" s="57">
        <f>H176+H183+H227++H238</f>
        <v>35702500</v>
      </c>
      <c r="I175" s="77"/>
      <c r="J175" s="57">
        <f>J176+J183+J227++J238</f>
        <v>42772945.94</v>
      </c>
      <c r="K175" s="77"/>
      <c r="L175" s="57">
        <f>L176+L183+L227++L238</f>
        <v>73481345.94</v>
      </c>
      <c r="M175" s="78"/>
      <c r="N175" s="57">
        <f>N176+N183+N227++N238</f>
        <v>73321345.94</v>
      </c>
      <c r="O175" s="77"/>
      <c r="P175" s="57">
        <f>P176+P183+P227++P238</f>
        <v>103693545.94</v>
      </c>
      <c r="Q175" s="50"/>
      <c r="R175" s="57">
        <f>R176+R183+R227++R238</f>
        <v>103493545.94</v>
      </c>
      <c r="S175" s="50"/>
      <c r="T175" s="57">
        <f>T176+T183+T227++T238</f>
        <v>101439885.94</v>
      </c>
    </row>
    <row r="176" spans="1:20" ht="21.75" customHeight="1">
      <c r="A176" s="24" t="s">
        <v>408</v>
      </c>
      <c r="B176" s="73">
        <v>901</v>
      </c>
      <c r="C176" s="73" t="s">
        <v>359</v>
      </c>
      <c r="D176" s="73"/>
      <c r="E176" s="73"/>
      <c r="F176" s="57" t="e">
        <f>F178</f>
        <v>#REF!</v>
      </c>
      <c r="G176" s="73"/>
      <c r="H176" s="57">
        <f>H177</f>
        <v>3013300</v>
      </c>
      <c r="I176" s="77"/>
      <c r="J176" s="57">
        <f>J177</f>
        <v>3013300</v>
      </c>
      <c r="K176" s="77"/>
      <c r="L176" s="57">
        <f>L177</f>
        <v>3013300</v>
      </c>
      <c r="M176" s="77"/>
      <c r="N176" s="57">
        <f>N177</f>
        <v>3013300</v>
      </c>
      <c r="O176" s="77"/>
      <c r="P176" s="57">
        <f>P177</f>
        <v>3013300</v>
      </c>
      <c r="Q176" s="50"/>
      <c r="R176" s="57">
        <f>R177</f>
        <v>3013300</v>
      </c>
      <c r="S176" s="50"/>
      <c r="T176" s="57">
        <f>T177</f>
        <v>959640</v>
      </c>
    </row>
    <row r="177" spans="1:20" ht="108.75" customHeight="1">
      <c r="A177" s="16" t="s">
        <v>537</v>
      </c>
      <c r="B177" s="83" t="s">
        <v>368</v>
      </c>
      <c r="C177" s="83" t="s">
        <v>359</v>
      </c>
      <c r="D177" s="83" t="s">
        <v>348</v>
      </c>
      <c r="E177" s="83"/>
      <c r="F177" s="57"/>
      <c r="G177" s="83"/>
      <c r="H177" s="57">
        <f>H178</f>
        <v>3013300</v>
      </c>
      <c r="I177" s="77"/>
      <c r="J177" s="57">
        <f>J178</f>
        <v>3013300</v>
      </c>
      <c r="K177" s="77"/>
      <c r="L177" s="57">
        <f>L178</f>
        <v>3013300</v>
      </c>
      <c r="M177" s="77"/>
      <c r="N177" s="57">
        <f>N178</f>
        <v>3013300</v>
      </c>
      <c r="O177" s="77"/>
      <c r="P177" s="57">
        <f>P178</f>
        <v>3013300</v>
      </c>
      <c r="Q177" s="50"/>
      <c r="R177" s="57">
        <f>R178</f>
        <v>3013300</v>
      </c>
      <c r="S177" s="50"/>
      <c r="T177" s="57">
        <f>T178</f>
        <v>959640</v>
      </c>
    </row>
    <row r="178" spans="1:20" ht="48" customHeight="1">
      <c r="A178" s="24" t="s">
        <v>542</v>
      </c>
      <c r="B178" s="73" t="s">
        <v>368</v>
      </c>
      <c r="C178" s="73" t="s">
        <v>359</v>
      </c>
      <c r="D178" s="89" t="s">
        <v>349</v>
      </c>
      <c r="E178" s="73"/>
      <c r="F178" s="57" t="e">
        <f>#REF!+F181</f>
        <v>#REF!</v>
      </c>
      <c r="G178" s="73"/>
      <c r="H178" s="57">
        <f>H179+H181</f>
        <v>3013300</v>
      </c>
      <c r="I178" s="77"/>
      <c r="J178" s="57">
        <f>J179+J181</f>
        <v>3013300</v>
      </c>
      <c r="K178" s="77"/>
      <c r="L178" s="57">
        <f>L179+L181</f>
        <v>3013300</v>
      </c>
      <c r="M178" s="77"/>
      <c r="N178" s="57">
        <f>N179+N181</f>
        <v>3013300</v>
      </c>
      <c r="O178" s="77"/>
      <c r="P178" s="57">
        <f>P179+P181</f>
        <v>3013300</v>
      </c>
      <c r="Q178" s="50"/>
      <c r="R178" s="57">
        <f>R179+R181</f>
        <v>3013300</v>
      </c>
      <c r="S178" s="50"/>
      <c r="T178" s="57">
        <f>T179+T181</f>
        <v>959640</v>
      </c>
    </row>
    <row r="179" spans="1:20" ht="67.5" customHeight="1">
      <c r="A179" s="24" t="s">
        <v>541</v>
      </c>
      <c r="B179" s="73" t="s">
        <v>368</v>
      </c>
      <c r="C179" s="73" t="s">
        <v>359</v>
      </c>
      <c r="D179" s="73" t="s">
        <v>539</v>
      </c>
      <c r="E179" s="73"/>
      <c r="F179" s="57"/>
      <c r="G179" s="73"/>
      <c r="H179" s="57">
        <f>H180</f>
        <v>2100300</v>
      </c>
      <c r="I179" s="77"/>
      <c r="J179" s="57">
        <f>J180</f>
        <v>2100300</v>
      </c>
      <c r="K179" s="77"/>
      <c r="L179" s="57">
        <f>L180</f>
        <v>2100300</v>
      </c>
      <c r="M179" s="77"/>
      <c r="N179" s="57">
        <f>N180</f>
        <v>2100300</v>
      </c>
      <c r="O179" s="77"/>
      <c r="P179" s="57">
        <f>P180</f>
        <v>2100300</v>
      </c>
      <c r="Q179" s="50"/>
      <c r="R179" s="57">
        <f>R180</f>
        <v>2100300</v>
      </c>
      <c r="S179" s="50"/>
      <c r="T179" s="57">
        <f>T180</f>
        <v>11773</v>
      </c>
    </row>
    <row r="180" spans="1:20" ht="30.75" customHeight="1">
      <c r="A180" s="17" t="s">
        <v>491</v>
      </c>
      <c r="B180" s="73" t="s">
        <v>368</v>
      </c>
      <c r="C180" s="73" t="s">
        <v>359</v>
      </c>
      <c r="D180" s="89" t="s">
        <v>539</v>
      </c>
      <c r="E180" s="73" t="s">
        <v>463</v>
      </c>
      <c r="F180" s="57">
        <v>0</v>
      </c>
      <c r="G180" s="73" t="s">
        <v>503</v>
      </c>
      <c r="H180" s="57">
        <v>2100300</v>
      </c>
      <c r="I180" s="77"/>
      <c r="J180" s="78">
        <f>H180+I180</f>
        <v>2100300</v>
      </c>
      <c r="K180" s="77"/>
      <c r="L180" s="78">
        <f>J180+K180</f>
        <v>2100300</v>
      </c>
      <c r="M180" s="77"/>
      <c r="N180" s="78">
        <f>L180+M180</f>
        <v>2100300</v>
      </c>
      <c r="O180" s="77"/>
      <c r="P180" s="78">
        <f>N180+O180</f>
        <v>2100300</v>
      </c>
      <c r="Q180" s="50"/>
      <c r="R180" s="78">
        <f>P180+Q180</f>
        <v>2100300</v>
      </c>
      <c r="S180" s="50">
        <f>-688527-1400000</f>
        <v>-2088527</v>
      </c>
      <c r="T180" s="78">
        <f>R180+S180</f>
        <v>11773</v>
      </c>
    </row>
    <row r="181" spans="1:20" ht="30.75" customHeight="1">
      <c r="A181" s="24" t="s">
        <v>540</v>
      </c>
      <c r="B181" s="73" t="s">
        <v>368</v>
      </c>
      <c r="C181" s="73" t="s">
        <v>359</v>
      </c>
      <c r="D181" s="90" t="s">
        <v>538</v>
      </c>
      <c r="E181" s="73"/>
      <c r="F181" s="57" t="e">
        <f>#REF!+F182</f>
        <v>#REF!</v>
      </c>
      <c r="G181" s="73"/>
      <c r="H181" s="57">
        <f>H182</f>
        <v>913000</v>
      </c>
      <c r="I181" s="77"/>
      <c r="J181" s="57">
        <f>J182</f>
        <v>913000</v>
      </c>
      <c r="K181" s="77"/>
      <c r="L181" s="57">
        <f>L182</f>
        <v>913000</v>
      </c>
      <c r="M181" s="77"/>
      <c r="N181" s="57">
        <f>N182</f>
        <v>913000</v>
      </c>
      <c r="O181" s="77"/>
      <c r="P181" s="57">
        <f>P182</f>
        <v>913000</v>
      </c>
      <c r="Q181" s="50"/>
      <c r="R181" s="57">
        <f>R182</f>
        <v>913000</v>
      </c>
      <c r="S181" s="50"/>
      <c r="T181" s="57">
        <f>T182</f>
        <v>947867</v>
      </c>
    </row>
    <row r="182" spans="1:20" ht="36" customHeight="1">
      <c r="A182" s="12" t="s">
        <v>492</v>
      </c>
      <c r="B182" s="73">
        <v>901</v>
      </c>
      <c r="C182" s="73" t="s">
        <v>359</v>
      </c>
      <c r="D182" s="73" t="s">
        <v>538</v>
      </c>
      <c r="E182" s="91">
        <v>243</v>
      </c>
      <c r="F182" s="57" t="e">
        <f>#REF!</f>
        <v>#REF!</v>
      </c>
      <c r="G182" s="73"/>
      <c r="H182" s="57">
        <v>913000</v>
      </c>
      <c r="I182" s="77"/>
      <c r="J182" s="78">
        <f>H182+I182</f>
        <v>913000</v>
      </c>
      <c r="K182" s="77"/>
      <c r="L182" s="78">
        <f>J182+K182</f>
        <v>913000</v>
      </c>
      <c r="M182" s="77"/>
      <c r="N182" s="78">
        <f>L182+M182</f>
        <v>913000</v>
      </c>
      <c r="O182" s="77"/>
      <c r="P182" s="78">
        <f>N182+O182</f>
        <v>913000</v>
      </c>
      <c r="Q182" s="50"/>
      <c r="R182" s="78">
        <f>P182+Q182</f>
        <v>913000</v>
      </c>
      <c r="S182" s="50">
        <f>34867</f>
        <v>34867</v>
      </c>
      <c r="T182" s="78">
        <f>R182+S182</f>
        <v>947867</v>
      </c>
    </row>
    <row r="183" spans="1:20" ht="24" customHeight="1">
      <c r="A183" s="14" t="s">
        <v>409</v>
      </c>
      <c r="B183" s="73" t="s">
        <v>368</v>
      </c>
      <c r="C183" s="73" t="s">
        <v>360</v>
      </c>
      <c r="D183" s="73"/>
      <c r="E183" s="73"/>
      <c r="F183" s="57" t="e">
        <f>#REF!+#REF!+#REF!+F189+#REF!+#REF!</f>
        <v>#REF!</v>
      </c>
      <c r="G183" s="73"/>
      <c r="H183" s="57">
        <f>H189+H201+H215+H184</f>
        <v>21952200</v>
      </c>
      <c r="I183" s="77"/>
      <c r="J183" s="57">
        <f>J188+J215+J184</f>
        <v>29124714.94</v>
      </c>
      <c r="K183" s="77"/>
      <c r="L183" s="57">
        <f>L188+L215+L184</f>
        <v>59823614.94</v>
      </c>
      <c r="M183" s="77"/>
      <c r="N183" s="57">
        <f>N188+N215+N184</f>
        <v>59823614.94</v>
      </c>
      <c r="O183" s="77"/>
      <c r="P183" s="57">
        <f>P188+P215+P184</f>
        <v>89696914.94</v>
      </c>
      <c r="Q183" s="108"/>
      <c r="R183" s="57">
        <f>R188+R215+R184</f>
        <v>89496914.94</v>
      </c>
      <c r="S183" s="50"/>
      <c r="T183" s="57">
        <f>T188+T215+T184</f>
        <v>89210813.94</v>
      </c>
    </row>
    <row r="184" spans="1:20" ht="48.75" customHeight="1">
      <c r="A184" s="12" t="s">
        <v>607</v>
      </c>
      <c r="B184" s="73" t="s">
        <v>368</v>
      </c>
      <c r="C184" s="73" t="s">
        <v>360</v>
      </c>
      <c r="D184" s="73" t="s">
        <v>429</v>
      </c>
      <c r="E184" s="73"/>
      <c r="F184" s="57"/>
      <c r="G184" s="73"/>
      <c r="H184" s="57">
        <f>H185</f>
        <v>300000</v>
      </c>
      <c r="I184" s="77"/>
      <c r="J184" s="57">
        <f>J185</f>
        <v>300000</v>
      </c>
      <c r="K184" s="77"/>
      <c r="L184" s="57">
        <f>L185</f>
        <v>300000</v>
      </c>
      <c r="M184" s="77"/>
      <c r="N184" s="57">
        <f>N185</f>
        <v>300000</v>
      </c>
      <c r="O184" s="77"/>
      <c r="P184" s="57">
        <f>P185</f>
        <v>300000</v>
      </c>
      <c r="Q184" s="50"/>
      <c r="R184" s="57">
        <f>R185</f>
        <v>0</v>
      </c>
      <c r="S184" s="50"/>
      <c r="T184" s="57">
        <f>T185</f>
        <v>0</v>
      </c>
    </row>
    <row r="185" spans="1:20" ht="48.75" customHeight="1">
      <c r="A185" s="12" t="s">
        <v>608</v>
      </c>
      <c r="B185" s="73" t="s">
        <v>368</v>
      </c>
      <c r="C185" s="73" t="s">
        <v>360</v>
      </c>
      <c r="D185" s="73" t="s">
        <v>609</v>
      </c>
      <c r="E185" s="73"/>
      <c r="F185" s="57"/>
      <c r="G185" s="73"/>
      <c r="H185" s="57">
        <f>H186</f>
        <v>300000</v>
      </c>
      <c r="I185" s="77"/>
      <c r="J185" s="57">
        <f>J186</f>
        <v>300000</v>
      </c>
      <c r="K185" s="77"/>
      <c r="L185" s="57">
        <f>L186</f>
        <v>300000</v>
      </c>
      <c r="M185" s="77"/>
      <c r="N185" s="57">
        <f>N186</f>
        <v>300000</v>
      </c>
      <c r="O185" s="77"/>
      <c r="P185" s="57">
        <f>P186</f>
        <v>300000</v>
      </c>
      <c r="Q185" s="50"/>
      <c r="R185" s="57">
        <f>R186</f>
        <v>0</v>
      </c>
      <c r="S185" s="50"/>
      <c r="T185" s="57">
        <f>T186</f>
        <v>0</v>
      </c>
    </row>
    <row r="186" spans="1:20" ht="36.75" customHeight="1">
      <c r="A186" s="12" t="s">
        <v>610</v>
      </c>
      <c r="B186" s="73" t="s">
        <v>368</v>
      </c>
      <c r="C186" s="73" t="s">
        <v>360</v>
      </c>
      <c r="D186" s="73" t="s">
        <v>637</v>
      </c>
      <c r="E186" s="73"/>
      <c r="F186" s="57"/>
      <c r="G186" s="73"/>
      <c r="H186" s="57">
        <f>H187</f>
        <v>300000</v>
      </c>
      <c r="I186" s="77"/>
      <c r="J186" s="57">
        <f>J187</f>
        <v>300000</v>
      </c>
      <c r="K186" s="77"/>
      <c r="L186" s="57">
        <f>L187</f>
        <v>300000</v>
      </c>
      <c r="M186" s="77"/>
      <c r="N186" s="57">
        <f>N187</f>
        <v>300000</v>
      </c>
      <c r="O186" s="77"/>
      <c r="P186" s="57">
        <f>P187</f>
        <v>300000</v>
      </c>
      <c r="Q186" s="50"/>
      <c r="R186" s="57">
        <f>R187</f>
        <v>0</v>
      </c>
      <c r="S186" s="50"/>
      <c r="T186" s="57">
        <f>T187</f>
        <v>0</v>
      </c>
    </row>
    <row r="187" spans="1:20" ht="30.75" customHeight="1">
      <c r="A187" s="17" t="s">
        <v>491</v>
      </c>
      <c r="B187" s="73" t="s">
        <v>368</v>
      </c>
      <c r="C187" s="73" t="s">
        <v>360</v>
      </c>
      <c r="D187" s="73" t="s">
        <v>637</v>
      </c>
      <c r="E187" s="73" t="s">
        <v>463</v>
      </c>
      <c r="F187" s="57"/>
      <c r="G187" s="73"/>
      <c r="H187" s="57">
        <v>300000</v>
      </c>
      <c r="I187" s="77"/>
      <c r="J187" s="78">
        <f>H187+I187</f>
        <v>300000</v>
      </c>
      <c r="K187" s="77"/>
      <c r="L187" s="78">
        <f>J187+K187</f>
        <v>300000</v>
      </c>
      <c r="M187" s="77"/>
      <c r="N187" s="78">
        <f>L187+M187</f>
        <v>300000</v>
      </c>
      <c r="O187" s="77"/>
      <c r="P187" s="78">
        <f>N187+O187</f>
        <v>300000</v>
      </c>
      <c r="Q187" s="50">
        <f>-300000</f>
        <v>-300000</v>
      </c>
      <c r="R187" s="78">
        <f>P187+Q187</f>
        <v>0</v>
      </c>
      <c r="S187" s="50"/>
      <c r="T187" s="78">
        <f>R187+S187</f>
        <v>0</v>
      </c>
    </row>
    <row r="188" spans="1:20" ht="97.5" customHeight="1">
      <c r="A188" s="16" t="s">
        <v>537</v>
      </c>
      <c r="B188" s="73" t="s">
        <v>368</v>
      </c>
      <c r="C188" s="73" t="s">
        <v>360</v>
      </c>
      <c r="D188" s="73" t="s">
        <v>348</v>
      </c>
      <c r="E188" s="73"/>
      <c r="F188" s="57"/>
      <c r="G188" s="73"/>
      <c r="H188" s="57">
        <f>H189+H201</f>
        <v>14721000</v>
      </c>
      <c r="I188" s="77"/>
      <c r="J188" s="57">
        <f>J189+J201+J212</f>
        <v>17144100</v>
      </c>
      <c r="K188" s="77"/>
      <c r="L188" s="57">
        <f>L189+L201+L212</f>
        <v>47843000</v>
      </c>
      <c r="M188" s="77"/>
      <c r="N188" s="57">
        <f>N189+N201+N212</f>
        <v>48243000</v>
      </c>
      <c r="O188" s="77"/>
      <c r="P188" s="57">
        <f>P189+P201+P212</f>
        <v>49513200</v>
      </c>
      <c r="Q188" s="50"/>
      <c r="R188" s="57">
        <f>R189+R201+R212</f>
        <v>49513200</v>
      </c>
      <c r="S188" s="50"/>
      <c r="T188" s="57">
        <f>T189+T201+T212</f>
        <v>49227099</v>
      </c>
    </row>
    <row r="189" spans="1:20" ht="61.5" customHeight="1">
      <c r="A189" s="49" t="s">
        <v>543</v>
      </c>
      <c r="B189" s="83" t="s">
        <v>368</v>
      </c>
      <c r="C189" s="83" t="s">
        <v>360</v>
      </c>
      <c r="D189" s="83" t="s">
        <v>580</v>
      </c>
      <c r="E189" s="83"/>
      <c r="F189" s="79" t="e">
        <f>#REF!+F190+F193</f>
        <v>#REF!</v>
      </c>
      <c r="G189" s="83"/>
      <c r="H189" s="79">
        <f>H190+H193+H195+H197</f>
        <v>9704000</v>
      </c>
      <c r="I189" s="77"/>
      <c r="J189" s="79">
        <f>J190+J193+J195+J197+J199</f>
        <v>11897300</v>
      </c>
      <c r="K189" s="78"/>
      <c r="L189" s="79">
        <f>L190+L193+L195+L197+L199</f>
        <v>11897300</v>
      </c>
      <c r="M189" s="77"/>
      <c r="N189" s="79">
        <f>N190+N193+N195+N197+N199</f>
        <v>12697300</v>
      </c>
      <c r="O189" s="77"/>
      <c r="P189" s="79">
        <f>P190+P193+P195+P197+P199</f>
        <v>14197300</v>
      </c>
      <c r="Q189" s="108"/>
      <c r="R189" s="79">
        <f>R190+R193+R195+R197+R199</f>
        <v>14197300</v>
      </c>
      <c r="S189" s="50"/>
      <c r="T189" s="79">
        <f>T190+T193+T195+T197+T199</f>
        <v>14197300</v>
      </c>
    </row>
    <row r="190" spans="1:20" ht="34.5" customHeight="1">
      <c r="A190" s="24" t="s">
        <v>547</v>
      </c>
      <c r="B190" s="83" t="s">
        <v>368</v>
      </c>
      <c r="C190" s="83" t="s">
        <v>360</v>
      </c>
      <c r="D190" s="83" t="s">
        <v>548</v>
      </c>
      <c r="E190" s="83"/>
      <c r="F190" s="79">
        <f>F191</f>
        <v>0</v>
      </c>
      <c r="G190" s="83"/>
      <c r="H190" s="79">
        <f>H191</f>
        <v>3300000</v>
      </c>
      <c r="I190" s="77"/>
      <c r="J190" s="79">
        <f>J191</f>
        <v>3300000</v>
      </c>
      <c r="K190" s="77"/>
      <c r="L190" s="79">
        <f>L191+L192</f>
        <v>3300000</v>
      </c>
      <c r="M190" s="77"/>
      <c r="N190" s="79">
        <f>N191+N192</f>
        <v>5100000</v>
      </c>
      <c r="O190" s="77"/>
      <c r="P190" s="79">
        <f>P191+P192</f>
        <v>6600000</v>
      </c>
      <c r="Q190" s="50"/>
      <c r="R190" s="79">
        <f>R191+R192</f>
        <v>6600000</v>
      </c>
      <c r="S190" s="50"/>
      <c r="T190" s="79">
        <f>T191+T192</f>
        <v>6600000</v>
      </c>
    </row>
    <row r="191" spans="1:20" ht="36" customHeight="1">
      <c r="A191" s="17" t="s">
        <v>491</v>
      </c>
      <c r="B191" s="83" t="s">
        <v>368</v>
      </c>
      <c r="C191" s="83" t="s">
        <v>360</v>
      </c>
      <c r="D191" s="83" t="s">
        <v>548</v>
      </c>
      <c r="E191" s="83" t="s">
        <v>463</v>
      </c>
      <c r="F191" s="79">
        <v>0</v>
      </c>
      <c r="G191" s="83" t="s">
        <v>504</v>
      </c>
      <c r="H191" s="79">
        <v>3300000</v>
      </c>
      <c r="I191" s="77"/>
      <c r="J191" s="78">
        <f>H191+I191</f>
        <v>3300000</v>
      </c>
      <c r="K191" s="77">
        <f>-3300000</f>
        <v>-3300000</v>
      </c>
      <c r="L191" s="78">
        <f>J191+K191</f>
        <v>0</v>
      </c>
      <c r="M191" s="77"/>
      <c r="N191" s="78">
        <f>L191+M191</f>
        <v>0</v>
      </c>
      <c r="O191" s="77"/>
      <c r="P191" s="78">
        <f>N191+O191</f>
        <v>0</v>
      </c>
      <c r="Q191" s="50"/>
      <c r="R191" s="78">
        <f>P191+Q191</f>
        <v>0</v>
      </c>
      <c r="S191" s="50"/>
      <c r="T191" s="78">
        <f>R191+S191</f>
        <v>0</v>
      </c>
    </row>
    <row r="192" spans="1:20" ht="69" customHeight="1">
      <c r="A192" s="17" t="s">
        <v>576</v>
      </c>
      <c r="B192" s="83" t="s">
        <v>368</v>
      </c>
      <c r="C192" s="83" t="s">
        <v>360</v>
      </c>
      <c r="D192" s="83" t="s">
        <v>548</v>
      </c>
      <c r="E192" s="83" t="s">
        <v>482</v>
      </c>
      <c r="F192" s="79"/>
      <c r="G192" s="83"/>
      <c r="H192" s="79"/>
      <c r="I192" s="77"/>
      <c r="J192" s="78"/>
      <c r="K192" s="77">
        <f>3300000</f>
        <v>3300000</v>
      </c>
      <c r="L192" s="78">
        <f>J192+K192</f>
        <v>3300000</v>
      </c>
      <c r="M192" s="77">
        <v>1800000</v>
      </c>
      <c r="N192" s="78">
        <f>L192+M192</f>
        <v>5100000</v>
      </c>
      <c r="O192" s="77">
        <v>1500000</v>
      </c>
      <c r="P192" s="78">
        <f>N192+O192</f>
        <v>6600000</v>
      </c>
      <c r="Q192" s="50"/>
      <c r="R192" s="78">
        <f>P192+Q192</f>
        <v>6600000</v>
      </c>
      <c r="S192" s="50"/>
      <c r="T192" s="78">
        <f>R192+S192</f>
        <v>6600000</v>
      </c>
    </row>
    <row r="193" spans="1:20" ht="50.25" customHeight="1">
      <c r="A193" s="24" t="s">
        <v>549</v>
      </c>
      <c r="B193" s="73" t="s">
        <v>368</v>
      </c>
      <c r="C193" s="73" t="s">
        <v>360</v>
      </c>
      <c r="D193" s="73" t="s">
        <v>550</v>
      </c>
      <c r="E193" s="73"/>
      <c r="F193" s="57">
        <f>F194</f>
        <v>0</v>
      </c>
      <c r="G193" s="82"/>
      <c r="H193" s="57">
        <f>H194</f>
        <v>3500000</v>
      </c>
      <c r="I193" s="77"/>
      <c r="J193" s="57">
        <f>J194</f>
        <v>3500000</v>
      </c>
      <c r="K193" s="77"/>
      <c r="L193" s="57">
        <f>L194</f>
        <v>3500000</v>
      </c>
      <c r="M193" s="77"/>
      <c r="N193" s="57">
        <f>N194</f>
        <v>2006919.3</v>
      </c>
      <c r="O193" s="77"/>
      <c r="P193" s="57">
        <f>P194</f>
        <v>2006919.3</v>
      </c>
      <c r="Q193" s="50"/>
      <c r="R193" s="57">
        <f>R194</f>
        <v>2006919.3</v>
      </c>
      <c r="S193" s="50"/>
      <c r="T193" s="57">
        <f>T194</f>
        <v>2006919.3</v>
      </c>
    </row>
    <row r="194" spans="1:20" ht="32.25" customHeight="1">
      <c r="A194" s="17" t="s">
        <v>491</v>
      </c>
      <c r="B194" s="73" t="s">
        <v>368</v>
      </c>
      <c r="C194" s="73" t="s">
        <v>360</v>
      </c>
      <c r="D194" s="73" t="s">
        <v>550</v>
      </c>
      <c r="E194" s="73" t="s">
        <v>463</v>
      </c>
      <c r="F194" s="57">
        <v>0</v>
      </c>
      <c r="G194" s="92">
        <v>2332000</v>
      </c>
      <c r="H194" s="57">
        <v>3500000</v>
      </c>
      <c r="I194" s="77"/>
      <c r="J194" s="78">
        <f>H194+I194</f>
        <v>3500000</v>
      </c>
      <c r="K194" s="77"/>
      <c r="L194" s="78">
        <f>J194+K194</f>
        <v>3500000</v>
      </c>
      <c r="M194" s="77">
        <f>-493080.7-1000000</f>
        <v>-1493080.7</v>
      </c>
      <c r="N194" s="78">
        <f>L194+M194</f>
        <v>2006919.3</v>
      </c>
      <c r="O194" s="77"/>
      <c r="P194" s="78">
        <f>N194+O194</f>
        <v>2006919.3</v>
      </c>
      <c r="Q194" s="50"/>
      <c r="R194" s="78">
        <f>P194+Q194</f>
        <v>2006919.3</v>
      </c>
      <c r="S194" s="50"/>
      <c r="T194" s="78">
        <f>R194+S194</f>
        <v>2006919.3</v>
      </c>
    </row>
    <row r="195" spans="1:20" ht="32.25" customHeight="1">
      <c r="A195" s="24" t="s">
        <v>551</v>
      </c>
      <c r="B195" s="73" t="s">
        <v>368</v>
      </c>
      <c r="C195" s="73" t="s">
        <v>360</v>
      </c>
      <c r="D195" s="73" t="s">
        <v>552</v>
      </c>
      <c r="E195" s="73"/>
      <c r="F195" s="57"/>
      <c r="G195" s="92"/>
      <c r="H195" s="57">
        <f>H196</f>
        <v>400000</v>
      </c>
      <c r="I195" s="77"/>
      <c r="J195" s="57">
        <f>J196</f>
        <v>400000</v>
      </c>
      <c r="K195" s="77"/>
      <c r="L195" s="57">
        <f>L196</f>
        <v>400000</v>
      </c>
      <c r="M195" s="77"/>
      <c r="N195" s="57">
        <f>N196</f>
        <v>400000</v>
      </c>
      <c r="O195" s="77"/>
      <c r="P195" s="57">
        <f>P196</f>
        <v>400000</v>
      </c>
      <c r="Q195" s="50"/>
      <c r="R195" s="57">
        <f>R196</f>
        <v>400000</v>
      </c>
      <c r="S195" s="50"/>
      <c r="T195" s="57">
        <f>T196</f>
        <v>400000</v>
      </c>
    </row>
    <row r="196" spans="1:20" ht="32.25" customHeight="1">
      <c r="A196" s="17" t="s">
        <v>491</v>
      </c>
      <c r="B196" s="73" t="s">
        <v>368</v>
      </c>
      <c r="C196" s="73" t="s">
        <v>360</v>
      </c>
      <c r="D196" s="73" t="s">
        <v>552</v>
      </c>
      <c r="E196" s="73" t="s">
        <v>463</v>
      </c>
      <c r="F196" s="57"/>
      <c r="G196" s="92"/>
      <c r="H196" s="57">
        <v>400000</v>
      </c>
      <c r="I196" s="77"/>
      <c r="J196" s="78">
        <f>H196+I196</f>
        <v>400000</v>
      </c>
      <c r="K196" s="77"/>
      <c r="L196" s="78">
        <f>J196+K196</f>
        <v>400000</v>
      </c>
      <c r="M196" s="77"/>
      <c r="N196" s="78">
        <f>L196+M196</f>
        <v>400000</v>
      </c>
      <c r="O196" s="77"/>
      <c r="P196" s="78">
        <f>N196+O196</f>
        <v>400000</v>
      </c>
      <c r="Q196" s="50"/>
      <c r="R196" s="78">
        <f>P196+Q196</f>
        <v>400000</v>
      </c>
      <c r="S196" s="50"/>
      <c r="T196" s="78">
        <f>R196+S196</f>
        <v>400000</v>
      </c>
    </row>
    <row r="197" spans="1:20" ht="32.25" customHeight="1">
      <c r="A197" s="24" t="s">
        <v>553</v>
      </c>
      <c r="B197" s="73" t="s">
        <v>368</v>
      </c>
      <c r="C197" s="73" t="s">
        <v>360</v>
      </c>
      <c r="D197" s="73" t="s">
        <v>554</v>
      </c>
      <c r="E197" s="73"/>
      <c r="F197" s="57"/>
      <c r="G197" s="92"/>
      <c r="H197" s="57">
        <f>H198</f>
        <v>2504000</v>
      </c>
      <c r="I197" s="77"/>
      <c r="J197" s="57">
        <f>J198</f>
        <v>2504000</v>
      </c>
      <c r="K197" s="77"/>
      <c r="L197" s="57">
        <f>L198</f>
        <v>2504000</v>
      </c>
      <c r="M197" s="77"/>
      <c r="N197" s="57">
        <f>N198</f>
        <v>2997080.7</v>
      </c>
      <c r="O197" s="77"/>
      <c r="P197" s="57">
        <f>P198</f>
        <v>2997080.7</v>
      </c>
      <c r="Q197" s="50"/>
      <c r="R197" s="57">
        <f>R198</f>
        <v>2997080.7</v>
      </c>
      <c r="S197" s="50"/>
      <c r="T197" s="57">
        <f>T198</f>
        <v>2997080.7</v>
      </c>
    </row>
    <row r="198" spans="1:20" ht="32.25" customHeight="1">
      <c r="A198" s="17" t="s">
        <v>491</v>
      </c>
      <c r="B198" s="73" t="s">
        <v>368</v>
      </c>
      <c r="C198" s="73" t="s">
        <v>360</v>
      </c>
      <c r="D198" s="73" t="s">
        <v>554</v>
      </c>
      <c r="E198" s="73" t="s">
        <v>463</v>
      </c>
      <c r="F198" s="57"/>
      <c r="G198" s="92"/>
      <c r="H198" s="57">
        <v>2504000</v>
      </c>
      <c r="I198" s="77"/>
      <c r="J198" s="78">
        <f>H198+I198</f>
        <v>2504000</v>
      </c>
      <c r="K198" s="77"/>
      <c r="L198" s="78">
        <f>J198+K198</f>
        <v>2504000</v>
      </c>
      <c r="M198" s="77">
        <f>493080.7</f>
        <v>493080.7</v>
      </c>
      <c r="N198" s="78">
        <f>L198+M198</f>
        <v>2997080.7</v>
      </c>
      <c r="O198" s="77"/>
      <c r="P198" s="78">
        <f>N198+O198</f>
        <v>2997080.7</v>
      </c>
      <c r="Q198" s="50"/>
      <c r="R198" s="78">
        <f>P198+Q198</f>
        <v>2997080.7</v>
      </c>
      <c r="S198" s="50"/>
      <c r="T198" s="78">
        <f>R198+S198</f>
        <v>2997080.7</v>
      </c>
    </row>
    <row r="199" spans="1:20" ht="115.5" customHeight="1">
      <c r="A199" s="17" t="s">
        <v>286</v>
      </c>
      <c r="B199" s="73" t="s">
        <v>368</v>
      </c>
      <c r="C199" s="73" t="s">
        <v>360</v>
      </c>
      <c r="D199" s="73" t="s">
        <v>285</v>
      </c>
      <c r="E199" s="73"/>
      <c r="F199" s="57"/>
      <c r="G199" s="92"/>
      <c r="H199" s="57"/>
      <c r="I199" s="88">
        <v>2193300</v>
      </c>
      <c r="J199" s="78">
        <f>J200</f>
        <v>2193300</v>
      </c>
      <c r="K199" s="77"/>
      <c r="L199" s="78">
        <f>L200</f>
        <v>2193300</v>
      </c>
      <c r="M199" s="77"/>
      <c r="N199" s="78">
        <f>N200</f>
        <v>2193300</v>
      </c>
      <c r="O199" s="77"/>
      <c r="P199" s="78">
        <f>P200</f>
        <v>2193300</v>
      </c>
      <c r="Q199" s="50"/>
      <c r="R199" s="78">
        <f>R200</f>
        <v>2193300</v>
      </c>
      <c r="S199" s="50"/>
      <c r="T199" s="78">
        <f>T200</f>
        <v>2193300</v>
      </c>
    </row>
    <row r="200" spans="1:20" ht="32.25" customHeight="1">
      <c r="A200" s="17" t="s">
        <v>491</v>
      </c>
      <c r="B200" s="73" t="s">
        <v>368</v>
      </c>
      <c r="C200" s="73" t="s">
        <v>360</v>
      </c>
      <c r="D200" s="73" t="s">
        <v>285</v>
      </c>
      <c r="E200" s="73" t="s">
        <v>463</v>
      </c>
      <c r="F200" s="57"/>
      <c r="G200" s="92"/>
      <c r="H200" s="57"/>
      <c r="I200" s="88">
        <v>2193300</v>
      </c>
      <c r="J200" s="78">
        <f>H200+I200</f>
        <v>2193300</v>
      </c>
      <c r="K200" s="77"/>
      <c r="L200" s="78">
        <f>J200+K200</f>
        <v>2193300</v>
      </c>
      <c r="M200" s="77"/>
      <c r="N200" s="78">
        <f>L200+M200</f>
        <v>2193300</v>
      </c>
      <c r="O200" s="77"/>
      <c r="P200" s="78">
        <f>N200+O200</f>
        <v>2193300</v>
      </c>
      <c r="Q200" s="50"/>
      <c r="R200" s="78">
        <f>P200+Q200</f>
        <v>2193300</v>
      </c>
      <c r="S200" s="50"/>
      <c r="T200" s="78">
        <f>R200+S200</f>
        <v>2193300</v>
      </c>
    </row>
    <row r="201" spans="1:20" ht="62.25" customHeight="1">
      <c r="A201" s="16" t="s">
        <v>555</v>
      </c>
      <c r="B201" s="73" t="s">
        <v>368</v>
      </c>
      <c r="C201" s="73" t="s">
        <v>360</v>
      </c>
      <c r="D201" s="89" t="s">
        <v>350</v>
      </c>
      <c r="E201" s="73"/>
      <c r="F201" s="57"/>
      <c r="G201" s="92"/>
      <c r="H201" s="57">
        <f>H202+H206+H208</f>
        <v>5017000</v>
      </c>
      <c r="I201" s="77"/>
      <c r="J201" s="57">
        <f>J202+J206+J208</f>
        <v>5017000</v>
      </c>
      <c r="K201" s="77"/>
      <c r="L201" s="57">
        <f>L202+L204+L206+L208+L210</f>
        <v>35715900</v>
      </c>
      <c r="M201" s="77"/>
      <c r="N201" s="57">
        <f>N202+N204+N206+N208+N210</f>
        <v>35315900</v>
      </c>
      <c r="O201" s="77"/>
      <c r="P201" s="57">
        <f>P202+P204+P206+P208+P210</f>
        <v>35315900</v>
      </c>
      <c r="Q201" s="50"/>
      <c r="R201" s="57">
        <f>R202+R204+R206+R208+R210</f>
        <v>35315900</v>
      </c>
      <c r="S201" s="50"/>
      <c r="T201" s="57">
        <f>T202+T204+T206+T208+T210</f>
        <v>35029799</v>
      </c>
    </row>
    <row r="202" spans="1:20" ht="63" customHeight="1">
      <c r="A202" s="24" t="s">
        <v>556</v>
      </c>
      <c r="B202" s="73" t="s">
        <v>368</v>
      </c>
      <c r="C202" s="73" t="s">
        <v>360</v>
      </c>
      <c r="D202" s="73" t="s">
        <v>557</v>
      </c>
      <c r="E202" s="73"/>
      <c r="F202" s="57"/>
      <c r="G202" s="92"/>
      <c r="H202" s="57">
        <f>H203</f>
        <v>3173520</v>
      </c>
      <c r="I202" s="77"/>
      <c r="J202" s="57">
        <f>J203</f>
        <v>3173520</v>
      </c>
      <c r="K202" s="77"/>
      <c r="L202" s="57">
        <f>L203</f>
        <v>2914020</v>
      </c>
      <c r="M202" s="77"/>
      <c r="N202" s="57">
        <f>N203</f>
        <v>2914020</v>
      </c>
      <c r="O202" s="77"/>
      <c r="P202" s="57">
        <f>P203</f>
        <v>2764020</v>
      </c>
      <c r="Q202" s="50"/>
      <c r="R202" s="57">
        <f>R203</f>
        <v>2764020</v>
      </c>
      <c r="S202" s="50"/>
      <c r="T202" s="57">
        <f>T203</f>
        <v>2477919</v>
      </c>
    </row>
    <row r="203" spans="1:20" ht="32.25" customHeight="1">
      <c r="A203" s="17" t="s">
        <v>491</v>
      </c>
      <c r="B203" s="73" t="s">
        <v>368</v>
      </c>
      <c r="C203" s="73" t="s">
        <v>360</v>
      </c>
      <c r="D203" s="73" t="s">
        <v>557</v>
      </c>
      <c r="E203" s="73" t="s">
        <v>463</v>
      </c>
      <c r="F203" s="57"/>
      <c r="G203" s="92"/>
      <c r="H203" s="57">
        <v>3173520</v>
      </c>
      <c r="I203" s="77"/>
      <c r="J203" s="78">
        <f>H203+I203</f>
        <v>3173520</v>
      </c>
      <c r="K203" s="77">
        <f>-9500-250000</f>
        <v>-259500</v>
      </c>
      <c r="L203" s="78">
        <f>J203+K203</f>
        <v>2914020</v>
      </c>
      <c r="M203" s="77"/>
      <c r="N203" s="78">
        <f>L203+M203</f>
        <v>2914020</v>
      </c>
      <c r="O203" s="77">
        <v>-150000</v>
      </c>
      <c r="P203" s="78">
        <f>N203+O203</f>
        <v>2764020</v>
      </c>
      <c r="Q203" s="50"/>
      <c r="R203" s="78">
        <f>P203+Q203</f>
        <v>2764020</v>
      </c>
      <c r="S203" s="50">
        <f>-196667-89434</f>
        <v>-286101</v>
      </c>
      <c r="T203" s="78">
        <f>R203+S203</f>
        <v>2477919</v>
      </c>
    </row>
    <row r="204" spans="1:20" ht="65.25" customHeight="1">
      <c r="A204" s="24" t="s">
        <v>265</v>
      </c>
      <c r="B204" s="73" t="s">
        <v>368</v>
      </c>
      <c r="C204" s="73" t="s">
        <v>360</v>
      </c>
      <c r="D204" s="73" t="s">
        <v>278</v>
      </c>
      <c r="E204" s="73"/>
      <c r="F204" s="57"/>
      <c r="G204" s="92"/>
      <c r="H204" s="57"/>
      <c r="I204" s="77"/>
      <c r="J204" s="78"/>
      <c r="K204" s="77"/>
      <c r="L204" s="78">
        <f>L205</f>
        <v>30708400</v>
      </c>
      <c r="M204" s="77"/>
      <c r="N204" s="78">
        <f>N205</f>
        <v>30708400</v>
      </c>
      <c r="O204" s="77"/>
      <c r="P204" s="78">
        <f>P205</f>
        <v>30708400</v>
      </c>
      <c r="Q204" s="50"/>
      <c r="R204" s="78">
        <f>R205</f>
        <v>30708400</v>
      </c>
      <c r="S204" s="50"/>
      <c r="T204" s="78">
        <f>T205</f>
        <v>30708400</v>
      </c>
    </row>
    <row r="205" spans="1:20" ht="32.25" customHeight="1">
      <c r="A205" s="17" t="s">
        <v>491</v>
      </c>
      <c r="B205" s="73" t="s">
        <v>368</v>
      </c>
      <c r="C205" s="73" t="s">
        <v>360</v>
      </c>
      <c r="D205" s="73" t="s">
        <v>278</v>
      </c>
      <c r="E205" s="73" t="s">
        <v>463</v>
      </c>
      <c r="F205" s="57"/>
      <c r="G205" s="92"/>
      <c r="H205" s="57"/>
      <c r="I205" s="77"/>
      <c r="J205" s="78"/>
      <c r="K205" s="77">
        <f>30708400</f>
        <v>30708400</v>
      </c>
      <c r="L205" s="78">
        <f>J205+K205</f>
        <v>30708400</v>
      </c>
      <c r="M205" s="77"/>
      <c r="N205" s="78">
        <f>L205+M205</f>
        <v>30708400</v>
      </c>
      <c r="O205" s="77"/>
      <c r="P205" s="78">
        <f>N205+O205</f>
        <v>30708400</v>
      </c>
      <c r="Q205" s="50"/>
      <c r="R205" s="78">
        <f>P205+Q205</f>
        <v>30708400</v>
      </c>
      <c r="S205" s="50"/>
      <c r="T205" s="78">
        <f>R205+S205</f>
        <v>30708400</v>
      </c>
    </row>
    <row r="206" spans="1:20" ht="17.25" customHeight="1">
      <c r="A206" s="24" t="s">
        <v>558</v>
      </c>
      <c r="B206" s="73" t="s">
        <v>368</v>
      </c>
      <c r="C206" s="73" t="s">
        <v>360</v>
      </c>
      <c r="D206" s="73" t="s">
        <v>559</v>
      </c>
      <c r="E206" s="73"/>
      <c r="F206" s="57"/>
      <c r="G206" s="92"/>
      <c r="H206" s="57">
        <f>H207</f>
        <v>1743480</v>
      </c>
      <c r="I206" s="77"/>
      <c r="J206" s="57">
        <f>J207</f>
        <v>1743480</v>
      </c>
      <c r="K206" s="77"/>
      <c r="L206" s="57">
        <f>L207</f>
        <v>1743480</v>
      </c>
      <c r="M206" s="77"/>
      <c r="N206" s="57">
        <f>N207</f>
        <v>1343480</v>
      </c>
      <c r="O206" s="77"/>
      <c r="P206" s="57">
        <f>P207</f>
        <v>1343480</v>
      </c>
      <c r="Q206" s="50"/>
      <c r="R206" s="57">
        <f>R207</f>
        <v>1343480</v>
      </c>
      <c r="S206" s="50"/>
      <c r="T206" s="57">
        <f>T207</f>
        <v>1343480</v>
      </c>
    </row>
    <row r="207" spans="1:20" ht="32.25" customHeight="1">
      <c r="A207" s="17" t="s">
        <v>491</v>
      </c>
      <c r="B207" s="73" t="s">
        <v>368</v>
      </c>
      <c r="C207" s="73" t="s">
        <v>360</v>
      </c>
      <c r="D207" s="73" t="s">
        <v>559</v>
      </c>
      <c r="E207" s="73" t="s">
        <v>463</v>
      </c>
      <c r="F207" s="57"/>
      <c r="G207" s="92"/>
      <c r="H207" s="57">
        <v>1743480</v>
      </c>
      <c r="I207" s="77"/>
      <c r="J207" s="78">
        <f>H207+I207</f>
        <v>1743480</v>
      </c>
      <c r="K207" s="77"/>
      <c r="L207" s="78">
        <f>J207+K207</f>
        <v>1743480</v>
      </c>
      <c r="M207" s="77">
        <v>-400000</v>
      </c>
      <c r="N207" s="78">
        <f>L207+M207</f>
        <v>1343480</v>
      </c>
      <c r="O207" s="77"/>
      <c r="P207" s="78">
        <f>N207+O207</f>
        <v>1343480</v>
      </c>
      <c r="Q207" s="50"/>
      <c r="R207" s="78">
        <f>P207+Q207</f>
        <v>1343480</v>
      </c>
      <c r="S207" s="50"/>
      <c r="T207" s="78">
        <f>R207+S207</f>
        <v>1343480</v>
      </c>
    </row>
    <row r="208" spans="1:20" ht="21" customHeight="1">
      <c r="A208" s="24" t="s">
        <v>561</v>
      </c>
      <c r="B208" s="73" t="s">
        <v>368</v>
      </c>
      <c r="C208" s="73" t="s">
        <v>360</v>
      </c>
      <c r="D208" s="73" t="s">
        <v>560</v>
      </c>
      <c r="E208" s="73"/>
      <c r="F208" s="57"/>
      <c r="G208" s="92"/>
      <c r="H208" s="57">
        <f>H209</f>
        <v>100000</v>
      </c>
      <c r="I208" s="77"/>
      <c r="J208" s="57">
        <f>J209</f>
        <v>100000</v>
      </c>
      <c r="K208" s="77"/>
      <c r="L208" s="57">
        <f>L209</f>
        <v>100000</v>
      </c>
      <c r="M208" s="77"/>
      <c r="N208" s="57">
        <f>N209</f>
        <v>100000</v>
      </c>
      <c r="O208" s="77"/>
      <c r="P208" s="57">
        <f>P209</f>
        <v>250000</v>
      </c>
      <c r="Q208" s="50"/>
      <c r="R208" s="57">
        <f>R209</f>
        <v>250000</v>
      </c>
      <c r="S208" s="50"/>
      <c r="T208" s="57">
        <f>T209</f>
        <v>250000</v>
      </c>
    </row>
    <row r="209" spans="1:20" ht="32.25" customHeight="1">
      <c r="A209" s="17" t="s">
        <v>491</v>
      </c>
      <c r="B209" s="73" t="s">
        <v>368</v>
      </c>
      <c r="C209" s="73" t="s">
        <v>360</v>
      </c>
      <c r="D209" s="73" t="s">
        <v>560</v>
      </c>
      <c r="E209" s="73" t="s">
        <v>463</v>
      </c>
      <c r="F209" s="57"/>
      <c r="G209" s="92"/>
      <c r="H209" s="57">
        <v>100000</v>
      </c>
      <c r="I209" s="77"/>
      <c r="J209" s="78">
        <f>H209+I209</f>
        <v>100000</v>
      </c>
      <c r="K209" s="77"/>
      <c r="L209" s="78">
        <f>J209+K209</f>
        <v>100000</v>
      </c>
      <c r="M209" s="77"/>
      <c r="N209" s="78">
        <f>L209+M209</f>
        <v>100000</v>
      </c>
      <c r="O209" s="77">
        <v>150000</v>
      </c>
      <c r="P209" s="78">
        <f>N209+O209</f>
        <v>250000</v>
      </c>
      <c r="Q209" s="50"/>
      <c r="R209" s="78">
        <f>P209+Q209</f>
        <v>250000</v>
      </c>
      <c r="S209" s="50"/>
      <c r="T209" s="78">
        <f>R209+S209</f>
        <v>250000</v>
      </c>
    </row>
    <row r="210" spans="1:20" ht="131.25" customHeight="1">
      <c r="A210" s="17" t="s">
        <v>272</v>
      </c>
      <c r="B210" s="73" t="s">
        <v>368</v>
      </c>
      <c r="C210" s="73" t="s">
        <v>360</v>
      </c>
      <c r="D210" s="73" t="s">
        <v>293</v>
      </c>
      <c r="E210" s="73"/>
      <c r="F210" s="57"/>
      <c r="G210" s="92"/>
      <c r="H210" s="57"/>
      <c r="I210" s="77"/>
      <c r="J210" s="78"/>
      <c r="K210" s="77"/>
      <c r="L210" s="78">
        <f>L211</f>
        <v>250000</v>
      </c>
      <c r="M210" s="77"/>
      <c r="N210" s="78">
        <f>N211</f>
        <v>250000</v>
      </c>
      <c r="O210" s="77"/>
      <c r="P210" s="78">
        <f>P211</f>
        <v>250000</v>
      </c>
      <c r="Q210" s="50"/>
      <c r="R210" s="78">
        <f>R211</f>
        <v>250000</v>
      </c>
      <c r="S210" s="50"/>
      <c r="T210" s="78">
        <f>T211</f>
        <v>250000</v>
      </c>
    </row>
    <row r="211" spans="1:20" ht="32.25" customHeight="1">
      <c r="A211" s="17" t="s">
        <v>491</v>
      </c>
      <c r="B211" s="73" t="s">
        <v>368</v>
      </c>
      <c r="C211" s="73" t="s">
        <v>360</v>
      </c>
      <c r="D211" s="73" t="s">
        <v>293</v>
      </c>
      <c r="E211" s="73" t="s">
        <v>463</v>
      </c>
      <c r="F211" s="57"/>
      <c r="G211" s="92"/>
      <c r="H211" s="57"/>
      <c r="I211" s="77"/>
      <c r="J211" s="78"/>
      <c r="K211" s="77">
        <f>250000</f>
        <v>250000</v>
      </c>
      <c r="L211" s="78">
        <f>J211+K211</f>
        <v>250000</v>
      </c>
      <c r="M211" s="77"/>
      <c r="N211" s="78">
        <f>L211+M211</f>
        <v>250000</v>
      </c>
      <c r="O211" s="77"/>
      <c r="P211" s="78">
        <f>N211+O211</f>
        <v>250000</v>
      </c>
      <c r="Q211" s="50"/>
      <c r="R211" s="78">
        <f>P211+Q211</f>
        <v>250000</v>
      </c>
      <c r="S211" s="50"/>
      <c r="T211" s="78">
        <f>R211+S211</f>
        <v>250000</v>
      </c>
    </row>
    <row r="212" spans="1:20" ht="92.25" customHeight="1">
      <c r="A212" s="16" t="s">
        <v>287</v>
      </c>
      <c r="B212" s="73" t="s">
        <v>368</v>
      </c>
      <c r="C212" s="73" t="s">
        <v>360</v>
      </c>
      <c r="D212" s="73" t="s">
        <v>582</v>
      </c>
      <c r="E212" s="73"/>
      <c r="F212" s="57"/>
      <c r="G212" s="92"/>
      <c r="H212" s="57"/>
      <c r="I212" s="88"/>
      <c r="J212" s="78">
        <f>J213</f>
        <v>229800</v>
      </c>
      <c r="K212" s="77"/>
      <c r="L212" s="78">
        <f>L213</f>
        <v>229800</v>
      </c>
      <c r="M212" s="77"/>
      <c r="N212" s="78">
        <f>N213</f>
        <v>229800</v>
      </c>
      <c r="O212" s="77"/>
      <c r="P212" s="78">
        <f>P213</f>
        <v>0</v>
      </c>
      <c r="Q212" s="50"/>
      <c r="R212" s="78">
        <f>R213</f>
        <v>0</v>
      </c>
      <c r="S212" s="50"/>
      <c r="T212" s="78">
        <f>T213</f>
        <v>0</v>
      </c>
    </row>
    <row r="213" spans="1:20" ht="143.25" customHeight="1">
      <c r="A213" s="49" t="s">
        <v>311</v>
      </c>
      <c r="B213" s="73" t="s">
        <v>368</v>
      </c>
      <c r="C213" s="73" t="s">
        <v>360</v>
      </c>
      <c r="D213" s="73" t="s">
        <v>288</v>
      </c>
      <c r="E213" s="73"/>
      <c r="F213" s="57"/>
      <c r="G213" s="92"/>
      <c r="H213" s="57"/>
      <c r="I213" s="88">
        <f>I214</f>
        <v>229800</v>
      </c>
      <c r="J213" s="78">
        <f>J214</f>
        <v>229800</v>
      </c>
      <c r="K213" s="77"/>
      <c r="L213" s="78">
        <f>L214</f>
        <v>229800</v>
      </c>
      <c r="M213" s="77"/>
      <c r="N213" s="78">
        <f>N214</f>
        <v>229800</v>
      </c>
      <c r="O213" s="77"/>
      <c r="P213" s="78">
        <f>P214</f>
        <v>0</v>
      </c>
      <c r="Q213" s="50"/>
      <c r="R213" s="78">
        <f>R214</f>
        <v>0</v>
      </c>
      <c r="S213" s="50"/>
      <c r="T213" s="78">
        <f>T214</f>
        <v>0</v>
      </c>
    </row>
    <row r="214" spans="1:20" ht="63.75" customHeight="1">
      <c r="A214" s="16" t="s">
        <v>576</v>
      </c>
      <c r="B214" s="73" t="s">
        <v>368</v>
      </c>
      <c r="C214" s="73" t="s">
        <v>360</v>
      </c>
      <c r="D214" s="73" t="s">
        <v>288</v>
      </c>
      <c r="E214" s="73" t="s">
        <v>482</v>
      </c>
      <c r="F214" s="57"/>
      <c r="G214" s="92"/>
      <c r="H214" s="57"/>
      <c r="I214" s="88">
        <v>229800</v>
      </c>
      <c r="J214" s="78">
        <f>H214+I214</f>
        <v>229800</v>
      </c>
      <c r="K214" s="77"/>
      <c r="L214" s="78">
        <f>J214+K214</f>
        <v>229800</v>
      </c>
      <c r="M214" s="77"/>
      <c r="N214" s="78">
        <f>L214+M214</f>
        <v>229800</v>
      </c>
      <c r="O214" s="77">
        <v>-229800</v>
      </c>
      <c r="P214" s="78">
        <f>N214+O214</f>
        <v>0</v>
      </c>
      <c r="Q214" s="50"/>
      <c r="R214" s="78">
        <f>P214+Q214</f>
        <v>0</v>
      </c>
      <c r="S214" s="50"/>
      <c r="T214" s="78">
        <f>R214+S214</f>
        <v>0</v>
      </c>
    </row>
    <row r="215" spans="1:20" ht="88.5" customHeight="1">
      <c r="A215" s="71" t="s">
        <v>248</v>
      </c>
      <c r="B215" s="73" t="s">
        <v>368</v>
      </c>
      <c r="C215" s="73" t="s">
        <v>360</v>
      </c>
      <c r="D215" s="73" t="s">
        <v>598</v>
      </c>
      <c r="E215" s="73"/>
      <c r="F215" s="57"/>
      <c r="G215" s="92"/>
      <c r="H215" s="57">
        <f>H216</f>
        <v>6931200</v>
      </c>
      <c r="I215" s="57"/>
      <c r="J215" s="57">
        <f>J216</f>
        <v>11680614.940000001</v>
      </c>
      <c r="K215" s="78"/>
      <c r="L215" s="57">
        <f>L216</f>
        <v>11680614.94</v>
      </c>
      <c r="M215" s="77"/>
      <c r="N215" s="57">
        <f>N216</f>
        <v>11280614.94</v>
      </c>
      <c r="O215" s="77"/>
      <c r="P215" s="57">
        <f>P216</f>
        <v>39883714.94</v>
      </c>
      <c r="Q215" s="50"/>
      <c r="R215" s="57">
        <f>R216</f>
        <v>39983714.94</v>
      </c>
      <c r="S215" s="50"/>
      <c r="T215" s="57">
        <f>T216</f>
        <v>39983714.94</v>
      </c>
    </row>
    <row r="216" spans="1:20" ht="50.25" customHeight="1">
      <c r="A216" s="12" t="s">
        <v>314</v>
      </c>
      <c r="B216" s="73" t="s">
        <v>368</v>
      </c>
      <c r="C216" s="73" t="s">
        <v>360</v>
      </c>
      <c r="D216" s="73" t="s">
        <v>599</v>
      </c>
      <c r="E216" s="73"/>
      <c r="F216" s="57"/>
      <c r="G216" s="92"/>
      <c r="H216" s="57">
        <f>H217+H220</f>
        <v>6931200</v>
      </c>
      <c r="I216" s="57"/>
      <c r="J216" s="57">
        <f>J217+J220</f>
        <v>11680614.940000001</v>
      </c>
      <c r="K216" s="77"/>
      <c r="L216" s="57">
        <f>L217+L220</f>
        <v>11680614.94</v>
      </c>
      <c r="M216" s="77"/>
      <c r="N216" s="57">
        <f>N217+N220</f>
        <v>11280614.94</v>
      </c>
      <c r="O216" s="77"/>
      <c r="P216" s="57">
        <f>P217+P220+P223+P225</f>
        <v>39883714.94</v>
      </c>
      <c r="Q216" s="50"/>
      <c r="R216" s="57">
        <f>R217+R220+R223+R225</f>
        <v>39983714.94</v>
      </c>
      <c r="S216" s="50"/>
      <c r="T216" s="57">
        <f>T217+T220+T223+T225</f>
        <v>39983714.94</v>
      </c>
    </row>
    <row r="217" spans="1:20" ht="54" customHeight="1">
      <c r="A217" s="12" t="s">
        <v>601</v>
      </c>
      <c r="B217" s="73" t="s">
        <v>368</v>
      </c>
      <c r="C217" s="73" t="s">
        <v>360</v>
      </c>
      <c r="D217" s="73" t="s">
        <v>600</v>
      </c>
      <c r="E217" s="73"/>
      <c r="F217" s="57"/>
      <c r="G217" s="92"/>
      <c r="H217" s="57">
        <f>H218</f>
        <v>6000000</v>
      </c>
      <c r="I217" s="57"/>
      <c r="J217" s="57">
        <f>J218</f>
        <v>10749414.940000001</v>
      </c>
      <c r="K217" s="77"/>
      <c r="L217" s="57">
        <f>L218+L219</f>
        <v>10414414.94</v>
      </c>
      <c r="M217" s="77"/>
      <c r="N217" s="57">
        <f>N218+N219</f>
        <v>10014414.94</v>
      </c>
      <c r="O217" s="77"/>
      <c r="P217" s="57">
        <f>P218+P219</f>
        <v>8514414.94</v>
      </c>
      <c r="Q217" s="50"/>
      <c r="R217" s="57">
        <f>R218+R219</f>
        <v>8614414.94</v>
      </c>
      <c r="S217" s="50"/>
      <c r="T217" s="57">
        <f>T218+T219</f>
        <v>8251144.9399999995</v>
      </c>
    </row>
    <row r="218" spans="1:20" ht="54" customHeight="1">
      <c r="A218" s="17" t="s">
        <v>602</v>
      </c>
      <c r="B218" s="73" t="s">
        <v>368</v>
      </c>
      <c r="C218" s="73" t="s">
        <v>360</v>
      </c>
      <c r="D218" s="73" t="s">
        <v>600</v>
      </c>
      <c r="E218" s="73" t="s">
        <v>493</v>
      </c>
      <c r="F218" s="57"/>
      <c r="G218" s="92"/>
      <c r="H218" s="57">
        <v>6000000</v>
      </c>
      <c r="I218" s="57">
        <v>4749414.94</v>
      </c>
      <c r="J218" s="78">
        <f>H218+I218</f>
        <v>10749414.940000001</v>
      </c>
      <c r="K218" s="77">
        <f>-10749414.94</f>
        <v>-10749414.94</v>
      </c>
      <c r="L218" s="78">
        <f>J218+K218</f>
        <v>0</v>
      </c>
      <c r="M218" s="77"/>
      <c r="N218" s="78">
        <f>L218+M218</f>
        <v>0</v>
      </c>
      <c r="O218" s="77"/>
      <c r="P218" s="78">
        <f>N218+O218</f>
        <v>0</v>
      </c>
      <c r="Q218" s="50"/>
      <c r="R218" s="78">
        <f>P218+Q218</f>
        <v>0</v>
      </c>
      <c r="S218" s="50"/>
      <c r="T218" s="78">
        <f>R218+S218</f>
        <v>0</v>
      </c>
    </row>
    <row r="219" spans="1:20" ht="52.5" customHeight="1">
      <c r="A219" s="23" t="s">
        <v>271</v>
      </c>
      <c r="B219" s="73" t="s">
        <v>368</v>
      </c>
      <c r="C219" s="73" t="s">
        <v>360</v>
      </c>
      <c r="D219" s="73" t="s">
        <v>600</v>
      </c>
      <c r="E219" s="73" t="s">
        <v>267</v>
      </c>
      <c r="F219" s="57"/>
      <c r="G219" s="92"/>
      <c r="H219" s="57"/>
      <c r="I219" s="57"/>
      <c r="J219" s="78"/>
      <c r="K219" s="77">
        <f>10749414.94-335000</f>
        <v>10414414.94</v>
      </c>
      <c r="L219" s="78">
        <f>J219+K219</f>
        <v>10414414.94</v>
      </c>
      <c r="M219" s="77">
        <v>-400000</v>
      </c>
      <c r="N219" s="78">
        <f>L219+M219</f>
        <v>10014414.94</v>
      </c>
      <c r="O219" s="77">
        <v>-1500000</v>
      </c>
      <c r="P219" s="78">
        <f>N219+O219</f>
        <v>8514414.94</v>
      </c>
      <c r="Q219" s="50">
        <v>100000</v>
      </c>
      <c r="R219" s="78">
        <f>P219+Q219</f>
        <v>8614414.94</v>
      </c>
      <c r="S219" s="50">
        <f>-363270</f>
        <v>-363270</v>
      </c>
      <c r="T219" s="78">
        <f>R219+S219</f>
        <v>8251144.9399999995</v>
      </c>
    </row>
    <row r="220" spans="1:20" ht="32.25" customHeight="1">
      <c r="A220" s="12" t="s">
        <v>606</v>
      </c>
      <c r="B220" s="73" t="s">
        <v>368</v>
      </c>
      <c r="C220" s="73" t="s">
        <v>360</v>
      </c>
      <c r="D220" s="73" t="s">
        <v>603</v>
      </c>
      <c r="E220" s="73"/>
      <c r="F220" s="57"/>
      <c r="G220" s="92"/>
      <c r="H220" s="57">
        <f>H221</f>
        <v>931200</v>
      </c>
      <c r="I220" s="57"/>
      <c r="J220" s="57">
        <f>J221</f>
        <v>931200</v>
      </c>
      <c r="K220" s="77"/>
      <c r="L220" s="57">
        <f>L221+L222</f>
        <v>1266200</v>
      </c>
      <c r="M220" s="77"/>
      <c r="N220" s="57">
        <f>N221+N222</f>
        <v>1266200</v>
      </c>
      <c r="O220" s="77"/>
      <c r="P220" s="57">
        <f>P221+P222</f>
        <v>1266200</v>
      </c>
      <c r="Q220" s="50"/>
      <c r="R220" s="57">
        <f>R221+R222</f>
        <v>1266200</v>
      </c>
      <c r="S220" s="50"/>
      <c r="T220" s="57">
        <f>T221+T222</f>
        <v>1629470</v>
      </c>
    </row>
    <row r="221" spans="1:20" ht="54.75" customHeight="1">
      <c r="A221" s="17" t="s">
        <v>602</v>
      </c>
      <c r="B221" s="73" t="s">
        <v>368</v>
      </c>
      <c r="C221" s="73" t="s">
        <v>360</v>
      </c>
      <c r="D221" s="73" t="s">
        <v>603</v>
      </c>
      <c r="E221" s="73" t="s">
        <v>493</v>
      </c>
      <c r="F221" s="57"/>
      <c r="G221" s="92"/>
      <c r="H221" s="57">
        <v>931200</v>
      </c>
      <c r="I221" s="57"/>
      <c r="J221" s="78">
        <f>H221+I221</f>
        <v>931200</v>
      </c>
      <c r="K221" s="77">
        <f>-931200</f>
        <v>-931200</v>
      </c>
      <c r="L221" s="78">
        <f>J221+K221</f>
        <v>0</v>
      </c>
      <c r="M221" s="77"/>
      <c r="N221" s="78">
        <f>L221+M221</f>
        <v>0</v>
      </c>
      <c r="O221" s="77"/>
      <c r="P221" s="78">
        <f>N221+O221</f>
        <v>0</v>
      </c>
      <c r="Q221" s="50"/>
      <c r="R221" s="78">
        <f>P221+Q221</f>
        <v>0</v>
      </c>
      <c r="S221" s="50"/>
      <c r="T221" s="78">
        <f>R221+S221</f>
        <v>0</v>
      </c>
    </row>
    <row r="222" spans="1:20" ht="54.75" customHeight="1">
      <c r="A222" s="23" t="s">
        <v>271</v>
      </c>
      <c r="B222" s="73" t="s">
        <v>368</v>
      </c>
      <c r="C222" s="73" t="s">
        <v>360</v>
      </c>
      <c r="D222" s="73" t="s">
        <v>603</v>
      </c>
      <c r="E222" s="73" t="s">
        <v>267</v>
      </c>
      <c r="F222" s="57"/>
      <c r="G222" s="92"/>
      <c r="H222" s="57"/>
      <c r="I222" s="57"/>
      <c r="J222" s="78"/>
      <c r="K222" s="77">
        <f>931200+335000</f>
        <v>1266200</v>
      </c>
      <c r="L222" s="78">
        <f>J222+K222</f>
        <v>1266200</v>
      </c>
      <c r="M222" s="77"/>
      <c r="N222" s="78">
        <f>L222+M222</f>
        <v>1266200</v>
      </c>
      <c r="O222" s="77"/>
      <c r="P222" s="78">
        <f>N222+O222</f>
        <v>1266200</v>
      </c>
      <c r="Q222" s="50"/>
      <c r="R222" s="78">
        <f>P222+Q222</f>
        <v>1266200</v>
      </c>
      <c r="S222" s="50">
        <f>363270</f>
        <v>363270</v>
      </c>
      <c r="T222" s="78">
        <f>R222+S222</f>
        <v>1629470</v>
      </c>
    </row>
    <row r="223" spans="1:20" ht="54.75" customHeight="1">
      <c r="A223" s="23" t="s">
        <v>593</v>
      </c>
      <c r="B223" s="73" t="s">
        <v>368</v>
      </c>
      <c r="C223" s="73" t="s">
        <v>360</v>
      </c>
      <c r="D223" s="73" t="s">
        <v>604</v>
      </c>
      <c r="E223" s="73"/>
      <c r="F223" s="57"/>
      <c r="G223" s="92"/>
      <c r="H223" s="57"/>
      <c r="I223" s="57"/>
      <c r="J223" s="78"/>
      <c r="K223" s="77"/>
      <c r="L223" s="78"/>
      <c r="M223" s="77"/>
      <c r="N223" s="78"/>
      <c r="O223" s="77"/>
      <c r="P223" s="78">
        <f>P224</f>
        <v>20470300</v>
      </c>
      <c r="Q223" s="50"/>
      <c r="R223" s="78">
        <f>R224</f>
        <v>20470300</v>
      </c>
      <c r="S223" s="50"/>
      <c r="T223" s="78">
        <f>T224</f>
        <v>20470300</v>
      </c>
    </row>
    <row r="224" spans="1:20" ht="54.75" customHeight="1">
      <c r="A224" s="23" t="s">
        <v>271</v>
      </c>
      <c r="B224" s="73" t="s">
        <v>368</v>
      </c>
      <c r="C224" s="73" t="s">
        <v>360</v>
      </c>
      <c r="D224" s="73" t="s">
        <v>604</v>
      </c>
      <c r="E224" s="73" t="s">
        <v>267</v>
      </c>
      <c r="F224" s="57"/>
      <c r="G224" s="92"/>
      <c r="H224" s="57"/>
      <c r="I224" s="57"/>
      <c r="J224" s="78"/>
      <c r="K224" s="77"/>
      <c r="L224" s="78"/>
      <c r="M224" s="77"/>
      <c r="N224" s="78"/>
      <c r="O224" s="77">
        <v>20470300</v>
      </c>
      <c r="P224" s="78">
        <f>N224+O224</f>
        <v>20470300</v>
      </c>
      <c r="Q224" s="50"/>
      <c r="R224" s="78">
        <f>P224+Q224</f>
        <v>20470300</v>
      </c>
      <c r="S224" s="50"/>
      <c r="T224" s="78">
        <f>R224+S224</f>
        <v>20470300</v>
      </c>
    </row>
    <row r="225" spans="1:20" ht="75" customHeight="1">
      <c r="A225" s="23" t="s">
        <v>594</v>
      </c>
      <c r="B225" s="73" t="s">
        <v>368</v>
      </c>
      <c r="C225" s="73" t="s">
        <v>360</v>
      </c>
      <c r="D225" s="73" t="s">
        <v>605</v>
      </c>
      <c r="E225" s="73"/>
      <c r="F225" s="57"/>
      <c r="G225" s="92"/>
      <c r="H225" s="57"/>
      <c r="I225" s="57"/>
      <c r="J225" s="78"/>
      <c r="K225" s="77"/>
      <c r="L225" s="78"/>
      <c r="M225" s="77"/>
      <c r="N225" s="78"/>
      <c r="O225" s="77"/>
      <c r="P225" s="78">
        <f>P226</f>
        <v>9632800</v>
      </c>
      <c r="Q225" s="50"/>
      <c r="R225" s="78">
        <f>R226</f>
        <v>9632800</v>
      </c>
      <c r="S225" s="50"/>
      <c r="T225" s="78">
        <f>T226</f>
        <v>9632800</v>
      </c>
    </row>
    <row r="226" spans="1:20" ht="54.75" customHeight="1">
      <c r="A226" s="23" t="s">
        <v>271</v>
      </c>
      <c r="B226" s="73" t="s">
        <v>368</v>
      </c>
      <c r="C226" s="73" t="s">
        <v>360</v>
      </c>
      <c r="D226" s="73" t="s">
        <v>605</v>
      </c>
      <c r="E226" s="73" t="s">
        <v>267</v>
      </c>
      <c r="F226" s="57"/>
      <c r="G226" s="92"/>
      <c r="H226" s="57"/>
      <c r="I226" s="57"/>
      <c r="J226" s="78"/>
      <c r="K226" s="77"/>
      <c r="L226" s="78"/>
      <c r="M226" s="77"/>
      <c r="N226" s="78"/>
      <c r="O226" s="77">
        <v>9632800</v>
      </c>
      <c r="P226" s="78">
        <f>N226+O226</f>
        <v>9632800</v>
      </c>
      <c r="Q226" s="50"/>
      <c r="R226" s="78">
        <f>P226+Q226</f>
        <v>9632800</v>
      </c>
      <c r="S226" s="50"/>
      <c r="T226" s="78">
        <f>R226+S226</f>
        <v>9632800</v>
      </c>
    </row>
    <row r="227" spans="1:20" ht="21.75" customHeight="1">
      <c r="A227" s="12" t="s">
        <v>370</v>
      </c>
      <c r="B227" s="73" t="s">
        <v>368</v>
      </c>
      <c r="C227" s="73" t="s">
        <v>369</v>
      </c>
      <c r="D227" s="73"/>
      <c r="E227" s="73"/>
      <c r="F227" s="57" t="e">
        <f>F229+F236+#REF!</f>
        <v>#REF!</v>
      </c>
      <c r="G227" s="73"/>
      <c r="H227" s="57">
        <f>H229</f>
        <v>10437000</v>
      </c>
      <c r="I227" s="77"/>
      <c r="J227" s="57">
        <f>J229</f>
        <v>10334931</v>
      </c>
      <c r="K227" s="77"/>
      <c r="L227" s="57">
        <f>L229</f>
        <v>10344431</v>
      </c>
      <c r="M227" s="77"/>
      <c r="N227" s="57">
        <f>N229</f>
        <v>10184431</v>
      </c>
      <c r="O227" s="77"/>
      <c r="P227" s="57">
        <f>P229</f>
        <v>10184431</v>
      </c>
      <c r="Q227" s="108"/>
      <c r="R227" s="57">
        <f>R229</f>
        <v>10184431</v>
      </c>
      <c r="S227" s="50"/>
      <c r="T227" s="57">
        <f>T229</f>
        <v>10470532</v>
      </c>
    </row>
    <row r="228" spans="1:20" ht="93" customHeight="1">
      <c r="A228" s="16" t="s">
        <v>537</v>
      </c>
      <c r="B228" s="73" t="s">
        <v>368</v>
      </c>
      <c r="C228" s="73" t="s">
        <v>369</v>
      </c>
      <c r="D228" s="73" t="s">
        <v>348</v>
      </c>
      <c r="E228" s="73"/>
      <c r="F228" s="57"/>
      <c r="G228" s="73"/>
      <c r="H228" s="57">
        <f>H229</f>
        <v>10437000</v>
      </c>
      <c r="I228" s="77"/>
      <c r="J228" s="57">
        <f>J229</f>
        <v>10334931</v>
      </c>
      <c r="K228" s="77"/>
      <c r="L228" s="57">
        <f>L229</f>
        <v>10344431</v>
      </c>
      <c r="M228" s="77"/>
      <c r="N228" s="57">
        <f>N229</f>
        <v>10184431</v>
      </c>
      <c r="O228" s="77"/>
      <c r="P228" s="57">
        <f>P229</f>
        <v>10184431</v>
      </c>
      <c r="Q228" s="50"/>
      <c r="R228" s="57">
        <f>R229</f>
        <v>10184431</v>
      </c>
      <c r="S228" s="50"/>
      <c r="T228" s="57">
        <f>T229</f>
        <v>10470532</v>
      </c>
    </row>
    <row r="229" spans="1:20" ht="50.25" customHeight="1">
      <c r="A229" s="24" t="s">
        <v>562</v>
      </c>
      <c r="B229" s="73" t="s">
        <v>368</v>
      </c>
      <c r="C229" s="73" t="s">
        <v>369</v>
      </c>
      <c r="D229" s="73" t="s">
        <v>581</v>
      </c>
      <c r="E229" s="73"/>
      <c r="F229" s="57" t="e">
        <f>F230+#REF!+F232+F234</f>
        <v>#REF!</v>
      </c>
      <c r="G229" s="73"/>
      <c r="H229" s="57">
        <f>H230+H232+H234+H236</f>
        <v>10437000</v>
      </c>
      <c r="I229" s="77"/>
      <c r="J229" s="57">
        <f>J230+J232+J234+J236</f>
        <v>10334931</v>
      </c>
      <c r="K229" s="77"/>
      <c r="L229" s="57">
        <f>L230+L232+L234+L236</f>
        <v>10344431</v>
      </c>
      <c r="M229" s="77"/>
      <c r="N229" s="57">
        <f>N230+N232+N234+N236</f>
        <v>10184431</v>
      </c>
      <c r="O229" s="77"/>
      <c r="P229" s="57">
        <f>P230+P232+P234+P236</f>
        <v>10184431</v>
      </c>
      <c r="Q229" s="50"/>
      <c r="R229" s="57">
        <f>R230+R232+R234+R236</f>
        <v>10184431</v>
      </c>
      <c r="S229" s="50"/>
      <c r="T229" s="57">
        <f>T230+T232+T234+T236</f>
        <v>10470532</v>
      </c>
    </row>
    <row r="230" spans="1:20" ht="48" customHeight="1">
      <c r="A230" s="24" t="s">
        <v>563</v>
      </c>
      <c r="B230" s="73" t="s">
        <v>368</v>
      </c>
      <c r="C230" s="73" t="s">
        <v>369</v>
      </c>
      <c r="D230" s="73" t="s">
        <v>564</v>
      </c>
      <c r="E230" s="73"/>
      <c r="F230" s="57">
        <f>F231</f>
        <v>0</v>
      </c>
      <c r="G230" s="73"/>
      <c r="H230" s="57">
        <f>H231</f>
        <v>6449000</v>
      </c>
      <c r="I230" s="77"/>
      <c r="J230" s="57">
        <f>J231</f>
        <v>6329000</v>
      </c>
      <c r="K230" s="77"/>
      <c r="L230" s="57">
        <f>L231</f>
        <v>6338550</v>
      </c>
      <c r="M230" s="77"/>
      <c r="N230" s="57">
        <f>N231</f>
        <v>6178550</v>
      </c>
      <c r="O230" s="77"/>
      <c r="P230" s="57">
        <f>P231</f>
        <v>6178550</v>
      </c>
      <c r="Q230" s="50"/>
      <c r="R230" s="57">
        <f>R231</f>
        <v>6178550</v>
      </c>
      <c r="S230" s="50"/>
      <c r="T230" s="57">
        <f>T231</f>
        <v>6267984</v>
      </c>
    </row>
    <row r="231" spans="1:20" ht="32.25" customHeight="1">
      <c r="A231" s="17" t="s">
        <v>491</v>
      </c>
      <c r="B231" s="73" t="s">
        <v>368</v>
      </c>
      <c r="C231" s="73" t="s">
        <v>369</v>
      </c>
      <c r="D231" s="73" t="s">
        <v>564</v>
      </c>
      <c r="E231" s="73" t="s">
        <v>463</v>
      </c>
      <c r="F231" s="57">
        <v>0</v>
      </c>
      <c r="G231" s="84">
        <v>6317400</v>
      </c>
      <c r="H231" s="57">
        <v>6449000</v>
      </c>
      <c r="I231" s="77">
        <v>-120000</v>
      </c>
      <c r="J231" s="78">
        <f>H231+I231</f>
        <v>6329000</v>
      </c>
      <c r="K231" s="77">
        <f>50+9500</f>
        <v>9550</v>
      </c>
      <c r="L231" s="78">
        <f>J231+K231</f>
        <v>6338550</v>
      </c>
      <c r="M231" s="77">
        <v>-160000</v>
      </c>
      <c r="N231" s="78">
        <f>L231+M231</f>
        <v>6178550</v>
      </c>
      <c r="O231" s="77"/>
      <c r="P231" s="78">
        <f>N231+O231</f>
        <v>6178550</v>
      </c>
      <c r="Q231" s="50"/>
      <c r="R231" s="78">
        <f>P231+Q231</f>
        <v>6178550</v>
      </c>
      <c r="S231" s="50">
        <f>30000+59434</f>
        <v>89434</v>
      </c>
      <c r="T231" s="78">
        <f>R231+S231</f>
        <v>6267984</v>
      </c>
    </row>
    <row r="232" spans="1:20" ht="34.5" customHeight="1">
      <c r="A232" s="24" t="s">
        <v>565</v>
      </c>
      <c r="B232" s="73" t="s">
        <v>368</v>
      </c>
      <c r="C232" s="73" t="s">
        <v>369</v>
      </c>
      <c r="D232" s="73" t="s">
        <v>566</v>
      </c>
      <c r="E232" s="73"/>
      <c r="F232" s="57">
        <f>F233</f>
        <v>0</v>
      </c>
      <c r="G232" s="73"/>
      <c r="H232" s="57">
        <f>H233</f>
        <v>500000</v>
      </c>
      <c r="I232" s="77"/>
      <c r="J232" s="57">
        <f>J233</f>
        <v>505000</v>
      </c>
      <c r="K232" s="77"/>
      <c r="L232" s="57">
        <f>L233</f>
        <v>505000</v>
      </c>
      <c r="M232" s="77"/>
      <c r="N232" s="57">
        <f>N233</f>
        <v>505000</v>
      </c>
      <c r="O232" s="77"/>
      <c r="P232" s="57">
        <f>P233</f>
        <v>501600</v>
      </c>
      <c r="Q232" s="50"/>
      <c r="R232" s="57">
        <f>R233</f>
        <v>501600</v>
      </c>
      <c r="S232" s="50"/>
      <c r="T232" s="57">
        <f>T233</f>
        <v>510080</v>
      </c>
    </row>
    <row r="233" spans="1:20" ht="33.75" customHeight="1">
      <c r="A233" s="17" t="s">
        <v>491</v>
      </c>
      <c r="B233" s="73" t="s">
        <v>368</v>
      </c>
      <c r="C233" s="73" t="s">
        <v>369</v>
      </c>
      <c r="D233" s="73" t="s">
        <v>566</v>
      </c>
      <c r="E233" s="73" t="s">
        <v>463</v>
      </c>
      <c r="F233" s="57">
        <v>0</v>
      </c>
      <c r="G233" s="73" t="s">
        <v>505</v>
      </c>
      <c r="H233" s="57">
        <v>500000</v>
      </c>
      <c r="I233" s="77">
        <v>5000</v>
      </c>
      <c r="J233" s="78">
        <f>H233+I233</f>
        <v>505000</v>
      </c>
      <c r="K233" s="77"/>
      <c r="L233" s="78">
        <f>J233+K233</f>
        <v>505000</v>
      </c>
      <c r="M233" s="77"/>
      <c r="N233" s="78">
        <f>L233+M233</f>
        <v>505000</v>
      </c>
      <c r="O233" s="77">
        <v>-3400</v>
      </c>
      <c r="P233" s="78">
        <f>N233+O233</f>
        <v>501600</v>
      </c>
      <c r="Q233" s="50"/>
      <c r="R233" s="78">
        <f>P233+Q233</f>
        <v>501600</v>
      </c>
      <c r="S233" s="50">
        <f>5000+8480-5000</f>
        <v>8480</v>
      </c>
      <c r="T233" s="78">
        <f>R233+S233</f>
        <v>510080</v>
      </c>
    </row>
    <row r="234" spans="1:20" ht="53.25" customHeight="1">
      <c r="A234" s="24" t="s">
        <v>567</v>
      </c>
      <c r="B234" s="73" t="s">
        <v>368</v>
      </c>
      <c r="C234" s="73" t="s">
        <v>369</v>
      </c>
      <c r="D234" s="73" t="s">
        <v>568</v>
      </c>
      <c r="E234" s="73"/>
      <c r="F234" s="57">
        <f>F235</f>
        <v>0</v>
      </c>
      <c r="G234" s="73"/>
      <c r="H234" s="57">
        <f>H235</f>
        <v>238000</v>
      </c>
      <c r="I234" s="77"/>
      <c r="J234" s="57">
        <f>J235</f>
        <v>238000</v>
      </c>
      <c r="K234" s="77"/>
      <c r="L234" s="57">
        <f>L235</f>
        <v>238000</v>
      </c>
      <c r="M234" s="77"/>
      <c r="N234" s="57">
        <f>N235</f>
        <v>210000</v>
      </c>
      <c r="O234" s="77"/>
      <c r="P234" s="57">
        <f>P235</f>
        <v>0</v>
      </c>
      <c r="Q234" s="50"/>
      <c r="R234" s="57">
        <f>R235</f>
        <v>0</v>
      </c>
      <c r="S234" s="50"/>
      <c r="T234" s="57">
        <f>T235</f>
        <v>0</v>
      </c>
    </row>
    <row r="235" spans="1:20" ht="36" customHeight="1">
      <c r="A235" s="17" t="s">
        <v>491</v>
      </c>
      <c r="B235" s="73">
        <v>901</v>
      </c>
      <c r="C235" s="73" t="s">
        <v>369</v>
      </c>
      <c r="D235" s="73" t="s">
        <v>568</v>
      </c>
      <c r="E235" s="73" t="s">
        <v>463</v>
      </c>
      <c r="F235" s="57">
        <v>0</v>
      </c>
      <c r="G235" s="84">
        <v>3820000</v>
      </c>
      <c r="H235" s="57">
        <v>238000</v>
      </c>
      <c r="I235" s="77"/>
      <c r="J235" s="78">
        <f>H235+I235</f>
        <v>238000</v>
      </c>
      <c r="K235" s="77"/>
      <c r="L235" s="78">
        <f>J235+K235</f>
        <v>238000</v>
      </c>
      <c r="M235" s="77">
        <f>-28000</f>
        <v>-28000</v>
      </c>
      <c r="N235" s="78">
        <f>L235+M235</f>
        <v>210000</v>
      </c>
      <c r="O235" s="77">
        <v>-210000</v>
      </c>
      <c r="P235" s="78">
        <f>N235+O235</f>
        <v>0</v>
      </c>
      <c r="Q235" s="50"/>
      <c r="R235" s="78">
        <f>P235+Q235</f>
        <v>0</v>
      </c>
      <c r="S235" s="50"/>
      <c r="T235" s="78">
        <f>R235+S235</f>
        <v>0</v>
      </c>
    </row>
    <row r="236" spans="1:20" ht="19.5" customHeight="1">
      <c r="A236" s="24" t="s">
        <v>569</v>
      </c>
      <c r="B236" s="83" t="s">
        <v>368</v>
      </c>
      <c r="C236" s="83" t="s">
        <v>369</v>
      </c>
      <c r="D236" s="83" t="s">
        <v>570</v>
      </c>
      <c r="E236" s="83"/>
      <c r="F236" s="79" t="e">
        <f>#REF!+F237</f>
        <v>#REF!</v>
      </c>
      <c r="G236" s="83"/>
      <c r="H236" s="79">
        <f>H237</f>
        <v>3250000</v>
      </c>
      <c r="I236" s="77"/>
      <c r="J236" s="79">
        <f>J237</f>
        <v>3262931</v>
      </c>
      <c r="K236" s="78"/>
      <c r="L236" s="79">
        <f>L237</f>
        <v>3262881</v>
      </c>
      <c r="M236" s="77"/>
      <c r="N236" s="79">
        <f>N237</f>
        <v>3290881</v>
      </c>
      <c r="O236" s="77"/>
      <c r="P236" s="79">
        <f>P237</f>
        <v>3504281</v>
      </c>
      <c r="Q236" s="50"/>
      <c r="R236" s="79">
        <f>R237</f>
        <v>3504281</v>
      </c>
      <c r="S236" s="50"/>
      <c r="T236" s="79">
        <f>T237</f>
        <v>3692468</v>
      </c>
    </row>
    <row r="237" spans="1:20" ht="33.75" customHeight="1">
      <c r="A237" s="17" t="s">
        <v>491</v>
      </c>
      <c r="B237" s="83" t="s">
        <v>368</v>
      </c>
      <c r="C237" s="83" t="s">
        <v>369</v>
      </c>
      <c r="D237" s="83" t="s">
        <v>570</v>
      </c>
      <c r="E237" s="83" t="s">
        <v>463</v>
      </c>
      <c r="F237" s="79" t="e">
        <f>#REF!+#REF!</f>
        <v>#REF!</v>
      </c>
      <c r="G237" s="83"/>
      <c r="H237" s="79">
        <v>3250000</v>
      </c>
      <c r="I237" s="88">
        <f>-14069+27000</f>
        <v>12931</v>
      </c>
      <c r="J237" s="78">
        <f>H237+I237</f>
        <v>3262931</v>
      </c>
      <c r="K237" s="77">
        <f>-50</f>
        <v>-50</v>
      </c>
      <c r="L237" s="78">
        <f>J237+K237</f>
        <v>3262881</v>
      </c>
      <c r="M237" s="77">
        <f>28000</f>
        <v>28000</v>
      </c>
      <c r="N237" s="78">
        <f>L237+M237</f>
        <v>3290881</v>
      </c>
      <c r="O237" s="77">
        <f>198700+14700</f>
        <v>213400</v>
      </c>
      <c r="P237" s="78">
        <f>N237+O237</f>
        <v>3504281</v>
      </c>
      <c r="Q237" s="50"/>
      <c r="R237" s="78">
        <f>P237+Q237</f>
        <v>3504281</v>
      </c>
      <c r="S237" s="50">
        <f>2000+3000+3000+2000-40000+2000+6520+5000+3000+5000+196667</f>
        <v>188187</v>
      </c>
      <c r="T237" s="78">
        <f>R237+S237</f>
        <v>3692468</v>
      </c>
    </row>
    <row r="238" spans="1:20" ht="34.5" customHeight="1">
      <c r="A238" s="14" t="s">
        <v>371</v>
      </c>
      <c r="B238" s="73" t="s">
        <v>368</v>
      </c>
      <c r="C238" s="73" t="s">
        <v>372</v>
      </c>
      <c r="D238" s="73"/>
      <c r="E238" s="73"/>
      <c r="F238" s="57" t="e">
        <f>F240+#REF!</f>
        <v>#REF!</v>
      </c>
      <c r="G238" s="73"/>
      <c r="H238" s="57">
        <f>H240</f>
        <v>300000</v>
      </c>
      <c r="I238" s="81"/>
      <c r="J238" s="57">
        <f>J240</f>
        <v>300000</v>
      </c>
      <c r="K238" s="77"/>
      <c r="L238" s="57">
        <f>L240</f>
        <v>300000</v>
      </c>
      <c r="M238" s="77"/>
      <c r="N238" s="57">
        <f>N240</f>
        <v>300000</v>
      </c>
      <c r="O238" s="77"/>
      <c r="P238" s="57">
        <f>P239</f>
        <v>798900</v>
      </c>
      <c r="Q238" s="50"/>
      <c r="R238" s="57">
        <f>R239</f>
        <v>798900</v>
      </c>
      <c r="S238" s="50"/>
      <c r="T238" s="57">
        <f>T239</f>
        <v>798900</v>
      </c>
    </row>
    <row r="239" spans="1:20" ht="99" customHeight="1">
      <c r="A239" s="16" t="s">
        <v>537</v>
      </c>
      <c r="B239" s="73" t="s">
        <v>368</v>
      </c>
      <c r="C239" s="73" t="s">
        <v>372</v>
      </c>
      <c r="D239" s="73" t="s">
        <v>348</v>
      </c>
      <c r="E239" s="73"/>
      <c r="F239" s="57"/>
      <c r="G239" s="73"/>
      <c r="H239" s="57">
        <f>H240</f>
        <v>300000</v>
      </c>
      <c r="I239" s="81"/>
      <c r="J239" s="57">
        <f>J240</f>
        <v>300000</v>
      </c>
      <c r="K239" s="77"/>
      <c r="L239" s="57">
        <f>L240</f>
        <v>300000</v>
      </c>
      <c r="M239" s="77"/>
      <c r="N239" s="57">
        <f>N240</f>
        <v>300000</v>
      </c>
      <c r="O239" s="77"/>
      <c r="P239" s="57">
        <f>P240</f>
        <v>798900</v>
      </c>
      <c r="Q239" s="50"/>
      <c r="R239" s="57">
        <f>R240</f>
        <v>798900</v>
      </c>
      <c r="S239" s="50"/>
      <c r="T239" s="57">
        <f>T240</f>
        <v>798900</v>
      </c>
    </row>
    <row r="240" spans="1:20" ht="96.75" customHeight="1">
      <c r="A240" s="24" t="s">
        <v>223</v>
      </c>
      <c r="B240" s="73" t="s">
        <v>368</v>
      </c>
      <c r="C240" s="73" t="s">
        <v>372</v>
      </c>
      <c r="D240" s="73" t="s">
        <v>582</v>
      </c>
      <c r="E240" s="73"/>
      <c r="F240" s="57">
        <f>F241</f>
        <v>0</v>
      </c>
      <c r="G240" s="73"/>
      <c r="H240" s="57">
        <f>H241</f>
        <v>300000</v>
      </c>
      <c r="I240" s="77"/>
      <c r="J240" s="57">
        <f>J241</f>
        <v>300000</v>
      </c>
      <c r="K240" s="77"/>
      <c r="L240" s="57">
        <f>L241</f>
        <v>300000</v>
      </c>
      <c r="M240" s="77"/>
      <c r="N240" s="57">
        <f>N241</f>
        <v>300000</v>
      </c>
      <c r="O240" s="77"/>
      <c r="P240" s="57">
        <f>P241+P243</f>
        <v>798900</v>
      </c>
      <c r="Q240" s="50"/>
      <c r="R240" s="57">
        <f>R241+R243</f>
        <v>798900</v>
      </c>
      <c r="S240" s="50"/>
      <c r="T240" s="57">
        <f>T241+T243</f>
        <v>798900</v>
      </c>
    </row>
    <row r="241" spans="1:20" ht="35.25" customHeight="1">
      <c r="A241" s="24" t="s">
        <v>575</v>
      </c>
      <c r="B241" s="73" t="s">
        <v>368</v>
      </c>
      <c r="C241" s="73" t="s">
        <v>372</v>
      </c>
      <c r="D241" s="73" t="s">
        <v>574</v>
      </c>
      <c r="E241" s="73"/>
      <c r="F241" s="57">
        <v>0</v>
      </c>
      <c r="G241" s="73" t="s">
        <v>502</v>
      </c>
      <c r="H241" s="57">
        <f>F241+G241</f>
        <v>300000</v>
      </c>
      <c r="I241" s="77"/>
      <c r="J241" s="57">
        <f>H241+I241</f>
        <v>300000</v>
      </c>
      <c r="K241" s="77"/>
      <c r="L241" s="57">
        <f>J241+K241</f>
        <v>300000</v>
      </c>
      <c r="M241" s="77"/>
      <c r="N241" s="57">
        <f>L241+M241</f>
        <v>300000</v>
      </c>
      <c r="O241" s="77"/>
      <c r="P241" s="57">
        <f>N241+O241</f>
        <v>300000</v>
      </c>
      <c r="Q241" s="50"/>
      <c r="R241" s="57">
        <f>P241+Q241</f>
        <v>300000</v>
      </c>
      <c r="S241" s="50"/>
      <c r="T241" s="57">
        <f>R241+S241</f>
        <v>300000</v>
      </c>
    </row>
    <row r="242" spans="1:20" ht="64.5" customHeight="1">
      <c r="A242" s="28" t="s">
        <v>576</v>
      </c>
      <c r="B242" s="73" t="s">
        <v>368</v>
      </c>
      <c r="C242" s="73" t="s">
        <v>372</v>
      </c>
      <c r="D242" s="73" t="s">
        <v>574</v>
      </c>
      <c r="E242" s="73" t="s">
        <v>482</v>
      </c>
      <c r="F242" s="57"/>
      <c r="G242" s="73"/>
      <c r="H242" s="57">
        <v>300000</v>
      </c>
      <c r="I242" s="77"/>
      <c r="J242" s="78">
        <f>H242+I242</f>
        <v>300000</v>
      </c>
      <c r="K242" s="77"/>
      <c r="L242" s="78">
        <f>J242+K242</f>
        <v>300000</v>
      </c>
      <c r="M242" s="77"/>
      <c r="N242" s="78">
        <f>L242+M242</f>
        <v>300000</v>
      </c>
      <c r="O242" s="77"/>
      <c r="P242" s="78">
        <f>N242+O242</f>
        <v>300000</v>
      </c>
      <c r="Q242" s="50"/>
      <c r="R242" s="78">
        <f>P242+Q242</f>
        <v>300000</v>
      </c>
      <c r="S242" s="50"/>
      <c r="T242" s="78">
        <f>R242+S242</f>
        <v>300000</v>
      </c>
    </row>
    <row r="243" spans="1:20" ht="149.25" customHeight="1">
      <c r="A243" s="49" t="s">
        <v>311</v>
      </c>
      <c r="B243" s="73" t="s">
        <v>368</v>
      </c>
      <c r="C243" s="73" t="s">
        <v>372</v>
      </c>
      <c r="D243" s="73" t="s">
        <v>288</v>
      </c>
      <c r="E243" s="73"/>
      <c r="F243" s="57"/>
      <c r="G243" s="73"/>
      <c r="H243" s="57"/>
      <c r="I243" s="77"/>
      <c r="J243" s="78"/>
      <c r="K243" s="77"/>
      <c r="L243" s="78"/>
      <c r="M243" s="77"/>
      <c r="N243" s="78"/>
      <c r="O243" s="77"/>
      <c r="P243" s="78">
        <f>P244</f>
        <v>498900</v>
      </c>
      <c r="Q243" s="50"/>
      <c r="R243" s="78">
        <f>R244</f>
        <v>498900</v>
      </c>
      <c r="S243" s="50"/>
      <c r="T243" s="78">
        <f>T244</f>
        <v>498900</v>
      </c>
    </row>
    <row r="244" spans="1:20" ht="67.5" customHeight="1">
      <c r="A244" s="16" t="s">
        <v>576</v>
      </c>
      <c r="B244" s="73" t="s">
        <v>368</v>
      </c>
      <c r="C244" s="73" t="s">
        <v>372</v>
      </c>
      <c r="D244" s="73" t="s">
        <v>288</v>
      </c>
      <c r="E244" s="73" t="s">
        <v>482</v>
      </c>
      <c r="F244" s="57"/>
      <c r="G244" s="73"/>
      <c r="H244" s="57"/>
      <c r="I244" s="77"/>
      <c r="J244" s="78"/>
      <c r="K244" s="77"/>
      <c r="L244" s="78"/>
      <c r="M244" s="77"/>
      <c r="N244" s="78"/>
      <c r="O244" s="77">
        <v>498900</v>
      </c>
      <c r="P244" s="78">
        <f>N244+O244</f>
        <v>498900</v>
      </c>
      <c r="Q244" s="50"/>
      <c r="R244" s="78">
        <f>P244+Q244</f>
        <v>498900</v>
      </c>
      <c r="S244" s="50"/>
      <c r="T244" s="78">
        <f>R244+S244</f>
        <v>498900</v>
      </c>
    </row>
    <row r="245" spans="1:20" ht="21.75" customHeight="1">
      <c r="A245" s="12" t="s">
        <v>410</v>
      </c>
      <c r="B245" s="73" t="s">
        <v>368</v>
      </c>
      <c r="C245" s="73" t="s">
        <v>361</v>
      </c>
      <c r="D245" s="73"/>
      <c r="E245" s="73"/>
      <c r="F245" s="57" t="e">
        <f>F251+#REF!</f>
        <v>#REF!</v>
      </c>
      <c r="G245" s="73"/>
      <c r="H245" s="57">
        <f>H246+H251</f>
        <v>1192000</v>
      </c>
      <c r="I245" s="77"/>
      <c r="J245" s="57">
        <f>J246+J251</f>
        <v>1192000</v>
      </c>
      <c r="K245" s="77"/>
      <c r="L245" s="57">
        <f>L246+L251</f>
        <v>1192000</v>
      </c>
      <c r="M245" s="77"/>
      <c r="N245" s="57">
        <f>N246+N251</f>
        <v>1192000</v>
      </c>
      <c r="O245" s="77"/>
      <c r="P245" s="57">
        <f>P246+P251</f>
        <v>1092000</v>
      </c>
      <c r="Q245" s="50"/>
      <c r="R245" s="57">
        <f>R246+R251</f>
        <v>1092000</v>
      </c>
      <c r="S245" s="50"/>
      <c r="T245" s="57">
        <f>T246+T251</f>
        <v>1092000</v>
      </c>
    </row>
    <row r="246" spans="1:20" ht="31.5" customHeight="1">
      <c r="A246" s="17" t="s">
        <v>532</v>
      </c>
      <c r="B246" s="73" t="s">
        <v>368</v>
      </c>
      <c r="C246" s="73" t="s">
        <v>533</v>
      </c>
      <c r="D246" s="73"/>
      <c r="E246" s="73"/>
      <c r="F246" s="79"/>
      <c r="G246" s="73"/>
      <c r="H246" s="57">
        <f>H247</f>
        <v>100000</v>
      </c>
      <c r="I246" s="77"/>
      <c r="J246" s="57">
        <f>J247</f>
        <v>100000</v>
      </c>
      <c r="K246" s="77"/>
      <c r="L246" s="57">
        <f>L247</f>
        <v>100000</v>
      </c>
      <c r="M246" s="77"/>
      <c r="N246" s="57">
        <f>N247</f>
        <v>100000</v>
      </c>
      <c r="O246" s="77"/>
      <c r="P246" s="57">
        <f>P247</f>
        <v>0</v>
      </c>
      <c r="Q246" s="50"/>
      <c r="R246" s="57">
        <f>R247</f>
        <v>0</v>
      </c>
      <c r="S246" s="50"/>
      <c r="T246" s="57">
        <f>T247</f>
        <v>0</v>
      </c>
    </row>
    <row r="247" spans="1:20" ht="68.25" customHeight="1">
      <c r="A247" s="70" t="s">
        <v>614</v>
      </c>
      <c r="B247" s="73" t="s">
        <v>368</v>
      </c>
      <c r="C247" s="73" t="s">
        <v>533</v>
      </c>
      <c r="D247" s="73" t="s">
        <v>429</v>
      </c>
      <c r="E247" s="73"/>
      <c r="F247" s="79"/>
      <c r="G247" s="73"/>
      <c r="H247" s="57">
        <f>H248</f>
        <v>100000</v>
      </c>
      <c r="I247" s="77"/>
      <c r="J247" s="57">
        <f>J248</f>
        <v>100000</v>
      </c>
      <c r="K247" s="77"/>
      <c r="L247" s="57">
        <f>L248</f>
        <v>100000</v>
      </c>
      <c r="M247" s="77"/>
      <c r="N247" s="57">
        <f>N248</f>
        <v>100000</v>
      </c>
      <c r="O247" s="77"/>
      <c r="P247" s="57">
        <f>P248</f>
        <v>0</v>
      </c>
      <c r="Q247" s="50"/>
      <c r="R247" s="57">
        <f>R248</f>
        <v>0</v>
      </c>
      <c r="S247" s="50"/>
      <c r="T247" s="57">
        <f>T248</f>
        <v>0</v>
      </c>
    </row>
    <row r="248" spans="1:20" ht="64.5" customHeight="1">
      <c r="A248" s="16" t="s">
        <v>633</v>
      </c>
      <c r="B248" s="73" t="s">
        <v>368</v>
      </c>
      <c r="C248" s="73" t="s">
        <v>533</v>
      </c>
      <c r="D248" s="73" t="s">
        <v>632</v>
      </c>
      <c r="E248" s="73"/>
      <c r="F248" s="79"/>
      <c r="G248" s="73"/>
      <c r="H248" s="57">
        <f>H249</f>
        <v>100000</v>
      </c>
      <c r="I248" s="77"/>
      <c r="J248" s="57">
        <f>J249</f>
        <v>100000</v>
      </c>
      <c r="K248" s="77"/>
      <c r="L248" s="57">
        <f>L249</f>
        <v>100000</v>
      </c>
      <c r="M248" s="77"/>
      <c r="N248" s="57">
        <f>N249</f>
        <v>100000</v>
      </c>
      <c r="O248" s="77"/>
      <c r="P248" s="57">
        <f>P249</f>
        <v>0</v>
      </c>
      <c r="Q248" s="50"/>
      <c r="R248" s="57">
        <f>R249</f>
        <v>0</v>
      </c>
      <c r="S248" s="50"/>
      <c r="T248" s="57">
        <f>T249</f>
        <v>0</v>
      </c>
    </row>
    <row r="249" spans="1:20" ht="36" customHeight="1">
      <c r="A249" s="16" t="s">
        <v>638</v>
      </c>
      <c r="B249" s="73" t="s">
        <v>368</v>
      </c>
      <c r="C249" s="73" t="s">
        <v>533</v>
      </c>
      <c r="D249" s="73" t="s">
        <v>639</v>
      </c>
      <c r="E249" s="73"/>
      <c r="F249" s="79"/>
      <c r="G249" s="73"/>
      <c r="H249" s="57">
        <f>H250</f>
        <v>100000</v>
      </c>
      <c r="I249" s="77"/>
      <c r="J249" s="57">
        <f>J250</f>
        <v>100000</v>
      </c>
      <c r="K249" s="77"/>
      <c r="L249" s="57">
        <f>L250</f>
        <v>100000</v>
      </c>
      <c r="M249" s="77"/>
      <c r="N249" s="57">
        <f>N250</f>
        <v>100000</v>
      </c>
      <c r="O249" s="77"/>
      <c r="P249" s="57">
        <f>P250</f>
        <v>0</v>
      </c>
      <c r="Q249" s="50"/>
      <c r="R249" s="57">
        <f>R250</f>
        <v>0</v>
      </c>
      <c r="S249" s="50"/>
      <c r="T249" s="57">
        <f>T250</f>
        <v>0</v>
      </c>
    </row>
    <row r="250" spans="1:20" ht="39.75" customHeight="1">
      <c r="A250" s="27" t="s">
        <v>491</v>
      </c>
      <c r="B250" s="73" t="s">
        <v>368</v>
      </c>
      <c r="C250" s="73" t="s">
        <v>533</v>
      </c>
      <c r="D250" s="73" t="s">
        <v>639</v>
      </c>
      <c r="E250" s="73" t="s">
        <v>463</v>
      </c>
      <c r="F250" s="79"/>
      <c r="G250" s="73"/>
      <c r="H250" s="57">
        <v>100000</v>
      </c>
      <c r="I250" s="77"/>
      <c r="J250" s="78">
        <f>H250+I250</f>
        <v>100000</v>
      </c>
      <c r="K250" s="77"/>
      <c r="L250" s="78">
        <f>J250+K250</f>
        <v>100000</v>
      </c>
      <c r="M250" s="77"/>
      <c r="N250" s="78">
        <f>L250+M250</f>
        <v>100000</v>
      </c>
      <c r="O250" s="77">
        <v>-100000</v>
      </c>
      <c r="P250" s="78">
        <f>N250+O250</f>
        <v>0</v>
      </c>
      <c r="Q250" s="50"/>
      <c r="R250" s="78">
        <f>P250+Q250</f>
        <v>0</v>
      </c>
      <c r="S250" s="50"/>
      <c r="T250" s="78">
        <f>R250+S250</f>
        <v>0</v>
      </c>
    </row>
    <row r="251" spans="1:20" ht="31.5" customHeight="1">
      <c r="A251" s="12" t="s">
        <v>377</v>
      </c>
      <c r="B251" s="73" t="s">
        <v>368</v>
      </c>
      <c r="C251" s="73" t="s">
        <v>378</v>
      </c>
      <c r="D251" s="73"/>
      <c r="E251" s="73"/>
      <c r="F251" s="57" t="e">
        <f>F252+#REF!</f>
        <v>#REF!</v>
      </c>
      <c r="G251" s="73"/>
      <c r="H251" s="57">
        <f>H252</f>
        <v>1092000</v>
      </c>
      <c r="I251" s="77"/>
      <c r="J251" s="57">
        <f>J252</f>
        <v>1092000</v>
      </c>
      <c r="K251" s="77"/>
      <c r="L251" s="57">
        <f>L252</f>
        <v>1092000</v>
      </c>
      <c r="M251" s="77"/>
      <c r="N251" s="57">
        <f>N252</f>
        <v>1092000</v>
      </c>
      <c r="O251" s="77"/>
      <c r="P251" s="57">
        <f>P252</f>
        <v>1092000</v>
      </c>
      <c r="Q251" s="50"/>
      <c r="R251" s="57">
        <f>R252</f>
        <v>1092000</v>
      </c>
      <c r="S251" s="50"/>
      <c r="T251" s="57">
        <f>T252</f>
        <v>1092000</v>
      </c>
    </row>
    <row r="252" spans="1:20" ht="65.25" customHeight="1">
      <c r="A252" s="70" t="s">
        <v>614</v>
      </c>
      <c r="B252" s="73" t="s">
        <v>368</v>
      </c>
      <c r="C252" s="73" t="s">
        <v>378</v>
      </c>
      <c r="D252" s="73" t="s">
        <v>429</v>
      </c>
      <c r="E252" s="73"/>
      <c r="F252" s="57" t="e">
        <f>#REF!</f>
        <v>#REF!</v>
      </c>
      <c r="G252" s="73"/>
      <c r="H252" s="57">
        <f>H253</f>
        <v>1092000</v>
      </c>
      <c r="I252" s="77"/>
      <c r="J252" s="57">
        <f>J253</f>
        <v>1092000</v>
      </c>
      <c r="K252" s="77"/>
      <c r="L252" s="57">
        <f>L253</f>
        <v>1092000</v>
      </c>
      <c r="M252" s="77"/>
      <c r="N252" s="57">
        <f>N253</f>
        <v>1092000</v>
      </c>
      <c r="O252" s="77"/>
      <c r="P252" s="57">
        <f>P253</f>
        <v>1092000</v>
      </c>
      <c r="Q252" s="50"/>
      <c r="R252" s="57">
        <f>R253</f>
        <v>1092000</v>
      </c>
      <c r="S252" s="50"/>
      <c r="T252" s="57">
        <f>T253</f>
        <v>1092000</v>
      </c>
    </row>
    <row r="253" spans="1:20" ht="63.75" customHeight="1">
      <c r="A253" s="16" t="s">
        <v>633</v>
      </c>
      <c r="B253" s="73" t="s">
        <v>368</v>
      </c>
      <c r="C253" s="73" t="s">
        <v>378</v>
      </c>
      <c r="D253" s="73" t="s">
        <v>632</v>
      </c>
      <c r="E253" s="73"/>
      <c r="F253" s="57"/>
      <c r="G253" s="73"/>
      <c r="H253" s="57">
        <f>H254</f>
        <v>1092000</v>
      </c>
      <c r="I253" s="77"/>
      <c r="J253" s="57">
        <f>J254</f>
        <v>1092000</v>
      </c>
      <c r="K253" s="77"/>
      <c r="L253" s="57">
        <f>L254</f>
        <v>1092000</v>
      </c>
      <c r="M253" s="77"/>
      <c r="N253" s="57">
        <f>N254</f>
        <v>1092000</v>
      </c>
      <c r="O253" s="77"/>
      <c r="P253" s="57">
        <f>P254</f>
        <v>1092000</v>
      </c>
      <c r="Q253" s="50"/>
      <c r="R253" s="57">
        <f>R254</f>
        <v>1092000</v>
      </c>
      <c r="S253" s="50"/>
      <c r="T253" s="57">
        <f>T254</f>
        <v>1092000</v>
      </c>
    </row>
    <row r="254" spans="1:20" ht="30.75" customHeight="1">
      <c r="A254" s="16" t="s">
        <v>638</v>
      </c>
      <c r="B254" s="73" t="s">
        <v>368</v>
      </c>
      <c r="C254" s="73" t="s">
        <v>378</v>
      </c>
      <c r="D254" s="73" t="s">
        <v>639</v>
      </c>
      <c r="E254" s="73"/>
      <c r="F254" s="57"/>
      <c r="G254" s="73"/>
      <c r="H254" s="57">
        <f>H255</f>
        <v>1092000</v>
      </c>
      <c r="I254" s="77"/>
      <c r="J254" s="57">
        <f>J255</f>
        <v>1092000</v>
      </c>
      <c r="K254" s="77"/>
      <c r="L254" s="57">
        <f>L255</f>
        <v>1092000</v>
      </c>
      <c r="M254" s="77"/>
      <c r="N254" s="57">
        <f>N255</f>
        <v>1092000</v>
      </c>
      <c r="O254" s="77"/>
      <c r="P254" s="57">
        <f>P255</f>
        <v>1092000</v>
      </c>
      <c r="Q254" s="50"/>
      <c r="R254" s="57">
        <f>R255</f>
        <v>1092000</v>
      </c>
      <c r="S254" s="50"/>
      <c r="T254" s="57">
        <f>T255</f>
        <v>1092000</v>
      </c>
    </row>
    <row r="255" spans="1:20" ht="31.5" customHeight="1">
      <c r="A255" s="27" t="s">
        <v>491</v>
      </c>
      <c r="B255" s="73" t="s">
        <v>368</v>
      </c>
      <c r="C255" s="73" t="s">
        <v>378</v>
      </c>
      <c r="D255" s="73" t="s">
        <v>639</v>
      </c>
      <c r="E255" s="73" t="s">
        <v>463</v>
      </c>
      <c r="F255" s="57">
        <v>0</v>
      </c>
      <c r="G255" s="84"/>
      <c r="H255" s="57">
        <v>1092000</v>
      </c>
      <c r="I255" s="77"/>
      <c r="J255" s="78">
        <f>H255+I255</f>
        <v>1092000</v>
      </c>
      <c r="K255" s="77"/>
      <c r="L255" s="78">
        <f>J255+K255</f>
        <v>1092000</v>
      </c>
      <c r="M255" s="77"/>
      <c r="N255" s="78">
        <f>L255+M255</f>
        <v>1092000</v>
      </c>
      <c r="O255" s="77"/>
      <c r="P255" s="78">
        <f>N255+O255</f>
        <v>1092000</v>
      </c>
      <c r="Q255" s="50"/>
      <c r="R255" s="78">
        <f>P255+Q255</f>
        <v>1092000</v>
      </c>
      <c r="S255" s="50"/>
      <c r="T255" s="78">
        <f>R255+S255</f>
        <v>1092000</v>
      </c>
    </row>
    <row r="256" spans="1:20" ht="17.25" customHeight="1">
      <c r="A256" s="12" t="s">
        <v>411</v>
      </c>
      <c r="B256" s="73" t="s">
        <v>368</v>
      </c>
      <c r="C256" s="73" t="s">
        <v>362</v>
      </c>
      <c r="D256" s="73"/>
      <c r="E256" s="73"/>
      <c r="F256" s="57">
        <f>F257</f>
        <v>0</v>
      </c>
      <c r="G256" s="73"/>
      <c r="H256" s="57">
        <f>H257</f>
        <v>1850000</v>
      </c>
      <c r="I256" s="77"/>
      <c r="J256" s="57">
        <f>J257</f>
        <v>1850000</v>
      </c>
      <c r="K256" s="77"/>
      <c r="L256" s="57">
        <f>L257</f>
        <v>1903800</v>
      </c>
      <c r="M256" s="77"/>
      <c r="N256" s="57">
        <f>N257</f>
        <v>1903800</v>
      </c>
      <c r="O256" s="77"/>
      <c r="P256" s="57">
        <f>P257</f>
        <v>1903800</v>
      </c>
      <c r="Q256" s="50"/>
      <c r="R256" s="57">
        <f>R257</f>
        <v>1903800</v>
      </c>
      <c r="S256" s="50"/>
      <c r="T256" s="57">
        <f>T257</f>
        <v>1903800</v>
      </c>
    </row>
    <row r="257" spans="1:20" ht="78.75" customHeight="1">
      <c r="A257" s="29" t="s">
        <v>246</v>
      </c>
      <c r="B257" s="73">
        <v>901</v>
      </c>
      <c r="C257" s="73" t="s">
        <v>364</v>
      </c>
      <c r="D257" s="73" t="s">
        <v>154</v>
      </c>
      <c r="E257" s="73"/>
      <c r="F257" s="57"/>
      <c r="G257" s="73"/>
      <c r="H257" s="57">
        <f>H264+H269+H272+H258</f>
        <v>1850000</v>
      </c>
      <c r="I257" s="77"/>
      <c r="J257" s="57">
        <f>J264+J269+J272+J258</f>
        <v>1850000</v>
      </c>
      <c r="K257" s="77"/>
      <c r="L257" s="57">
        <f>L264+L269+L272+L258</f>
        <v>1903800</v>
      </c>
      <c r="M257" s="77"/>
      <c r="N257" s="57">
        <f>N264+N269+N272+N258</f>
        <v>1903800</v>
      </c>
      <c r="O257" s="77"/>
      <c r="P257" s="57">
        <f>P264+P269+P272+P258</f>
        <v>1903800</v>
      </c>
      <c r="Q257" s="50"/>
      <c r="R257" s="57">
        <f>R264+R269+R272+R258</f>
        <v>1903800</v>
      </c>
      <c r="S257" s="50"/>
      <c r="T257" s="57">
        <f>T264+T269+T272+T258</f>
        <v>1903800</v>
      </c>
    </row>
    <row r="258" spans="1:20" ht="51.75" customHeight="1">
      <c r="A258" s="44" t="s">
        <v>148</v>
      </c>
      <c r="B258" s="73" t="s">
        <v>368</v>
      </c>
      <c r="C258" s="73" t="s">
        <v>364</v>
      </c>
      <c r="D258" s="73" t="s">
        <v>231</v>
      </c>
      <c r="E258" s="73"/>
      <c r="F258" s="57"/>
      <c r="G258" s="73"/>
      <c r="H258" s="57">
        <f>H259</f>
        <v>827000</v>
      </c>
      <c r="I258" s="77"/>
      <c r="J258" s="57">
        <f>J259</f>
        <v>827000</v>
      </c>
      <c r="K258" s="77"/>
      <c r="L258" s="57">
        <f>L259</f>
        <v>827000</v>
      </c>
      <c r="M258" s="77"/>
      <c r="N258" s="57">
        <f>N259</f>
        <v>827000</v>
      </c>
      <c r="O258" s="77"/>
      <c r="P258" s="57">
        <f>P259</f>
        <v>822000</v>
      </c>
      <c r="Q258" s="50"/>
      <c r="R258" s="57">
        <f>R259</f>
        <v>822000</v>
      </c>
      <c r="S258" s="50"/>
      <c r="T258" s="57">
        <f>T259</f>
        <v>822000</v>
      </c>
    </row>
    <row r="259" spans="1:20" ht="49.5" customHeight="1">
      <c r="A259" s="29" t="s">
        <v>153</v>
      </c>
      <c r="B259" s="73">
        <v>901</v>
      </c>
      <c r="C259" s="73" t="s">
        <v>364</v>
      </c>
      <c r="D259" s="73" t="s">
        <v>155</v>
      </c>
      <c r="E259" s="73"/>
      <c r="F259" s="57"/>
      <c r="G259" s="73"/>
      <c r="H259" s="57">
        <f>H260+H263</f>
        <v>827000</v>
      </c>
      <c r="I259" s="77"/>
      <c r="J259" s="57">
        <f>J260+J263</f>
        <v>827000</v>
      </c>
      <c r="K259" s="77"/>
      <c r="L259" s="57">
        <f>L260+L263</f>
        <v>827000</v>
      </c>
      <c r="M259" s="77"/>
      <c r="N259" s="57">
        <f>N260+N263</f>
        <v>827000</v>
      </c>
      <c r="O259" s="77"/>
      <c r="P259" s="57">
        <f>P260+P263+P261+P262</f>
        <v>822000</v>
      </c>
      <c r="Q259" s="50"/>
      <c r="R259" s="57">
        <f>R260+R263+R261+R262</f>
        <v>822000</v>
      </c>
      <c r="S259" s="50"/>
      <c r="T259" s="57">
        <f>T260+T263+T261+T262</f>
        <v>822000</v>
      </c>
    </row>
    <row r="260" spans="1:20" ht="26.25" customHeight="1">
      <c r="A260" s="14" t="s">
        <v>465</v>
      </c>
      <c r="B260" s="73">
        <v>901</v>
      </c>
      <c r="C260" s="73" t="s">
        <v>364</v>
      </c>
      <c r="D260" s="73" t="s">
        <v>156</v>
      </c>
      <c r="E260" s="73" t="s">
        <v>460</v>
      </c>
      <c r="F260" s="57"/>
      <c r="G260" s="73"/>
      <c r="H260" s="57">
        <v>639479</v>
      </c>
      <c r="I260" s="77"/>
      <c r="J260" s="78">
        <f>H260+I260</f>
        <v>639479</v>
      </c>
      <c r="K260" s="77"/>
      <c r="L260" s="78">
        <f>J260+K260</f>
        <v>639479</v>
      </c>
      <c r="M260" s="77"/>
      <c r="N260" s="78">
        <f>L260+M260</f>
        <v>639479</v>
      </c>
      <c r="O260" s="77"/>
      <c r="P260" s="78">
        <f>N260+O260</f>
        <v>639479</v>
      </c>
      <c r="Q260" s="50"/>
      <c r="R260" s="78">
        <f>P260+Q260</f>
        <v>639479</v>
      </c>
      <c r="S260" s="50"/>
      <c r="T260" s="78">
        <f>R260+S260</f>
        <v>639479</v>
      </c>
    </row>
    <row r="261" spans="1:20" ht="51" customHeight="1">
      <c r="A261" s="14" t="s">
        <v>643</v>
      </c>
      <c r="B261" s="73" t="s">
        <v>368</v>
      </c>
      <c r="C261" s="73" t="s">
        <v>364</v>
      </c>
      <c r="D261" s="73" t="s">
        <v>156</v>
      </c>
      <c r="E261" s="73" t="s">
        <v>461</v>
      </c>
      <c r="F261" s="57"/>
      <c r="G261" s="73"/>
      <c r="H261" s="57"/>
      <c r="I261" s="77"/>
      <c r="J261" s="78"/>
      <c r="K261" s="77"/>
      <c r="L261" s="78"/>
      <c r="M261" s="77"/>
      <c r="N261" s="78"/>
      <c r="O261" s="77">
        <v>700</v>
      </c>
      <c r="P261" s="78">
        <f>N261+O261</f>
        <v>700</v>
      </c>
      <c r="Q261" s="50"/>
      <c r="R261" s="78">
        <f>P261+Q261</f>
        <v>700</v>
      </c>
      <c r="S261" s="50"/>
      <c r="T261" s="78">
        <f>R261+S261</f>
        <v>700</v>
      </c>
    </row>
    <row r="262" spans="1:20" ht="40.5" customHeight="1">
      <c r="A262" s="44" t="s">
        <v>491</v>
      </c>
      <c r="B262" s="73" t="s">
        <v>368</v>
      </c>
      <c r="C262" s="73" t="s">
        <v>364</v>
      </c>
      <c r="D262" s="73" t="s">
        <v>156</v>
      </c>
      <c r="E262" s="73" t="s">
        <v>463</v>
      </c>
      <c r="F262" s="57"/>
      <c r="G262" s="73"/>
      <c r="H262" s="57"/>
      <c r="I262" s="77"/>
      <c r="J262" s="78"/>
      <c r="K262" s="77"/>
      <c r="L262" s="78"/>
      <c r="M262" s="77"/>
      <c r="N262" s="78"/>
      <c r="O262" s="77">
        <v>996</v>
      </c>
      <c r="P262" s="78">
        <f>N262+O262</f>
        <v>996</v>
      </c>
      <c r="Q262" s="50"/>
      <c r="R262" s="78">
        <f>P262+Q262</f>
        <v>996</v>
      </c>
      <c r="S262" s="50"/>
      <c r="T262" s="78">
        <f>R262+S262</f>
        <v>996</v>
      </c>
    </row>
    <row r="263" spans="1:20" ht="24" customHeight="1">
      <c r="A263" s="14" t="s">
        <v>472</v>
      </c>
      <c r="B263" s="73">
        <v>901</v>
      </c>
      <c r="C263" s="73" t="s">
        <v>364</v>
      </c>
      <c r="D263" s="73" t="s">
        <v>156</v>
      </c>
      <c r="E263" s="73" t="s">
        <v>471</v>
      </c>
      <c r="F263" s="57"/>
      <c r="G263" s="73"/>
      <c r="H263" s="57">
        <v>187521</v>
      </c>
      <c r="I263" s="77"/>
      <c r="J263" s="78">
        <f>H263+I263</f>
        <v>187521</v>
      </c>
      <c r="K263" s="77"/>
      <c r="L263" s="78">
        <f>J263+K263</f>
        <v>187521</v>
      </c>
      <c r="M263" s="77"/>
      <c r="N263" s="78">
        <f>L263+M263</f>
        <v>187521</v>
      </c>
      <c r="O263" s="77">
        <v>-6696</v>
      </c>
      <c r="P263" s="78">
        <f>N263+O263</f>
        <v>180825</v>
      </c>
      <c r="Q263" s="50"/>
      <c r="R263" s="78">
        <f>P263+Q263</f>
        <v>180825</v>
      </c>
      <c r="S263" s="50"/>
      <c r="T263" s="78">
        <f>R263+S263</f>
        <v>180825</v>
      </c>
    </row>
    <row r="264" spans="1:20" ht="51" customHeight="1">
      <c r="A264" s="44" t="s">
        <v>157</v>
      </c>
      <c r="B264" s="73">
        <v>901</v>
      </c>
      <c r="C264" s="73" t="s">
        <v>364</v>
      </c>
      <c r="D264" s="73" t="s">
        <v>232</v>
      </c>
      <c r="E264" s="73"/>
      <c r="F264" s="57"/>
      <c r="G264" s="73"/>
      <c r="H264" s="57">
        <f>H265</f>
        <v>126000</v>
      </c>
      <c r="I264" s="77"/>
      <c r="J264" s="57">
        <f>J265</f>
        <v>126000</v>
      </c>
      <c r="K264" s="77"/>
      <c r="L264" s="57">
        <f>L265+L267</f>
        <v>179800</v>
      </c>
      <c r="M264" s="77"/>
      <c r="N264" s="57">
        <f>N265+N267</f>
        <v>179800</v>
      </c>
      <c r="O264" s="77"/>
      <c r="P264" s="57">
        <f>P265+P267</f>
        <v>184800</v>
      </c>
      <c r="Q264" s="50"/>
      <c r="R264" s="57">
        <f>R265+R267</f>
        <v>184800</v>
      </c>
      <c r="S264" s="50"/>
      <c r="T264" s="57">
        <f>T265+T267</f>
        <v>184800</v>
      </c>
    </row>
    <row r="265" spans="1:20" ht="50.25" customHeight="1">
      <c r="A265" s="29" t="s">
        <v>158</v>
      </c>
      <c r="B265" s="73">
        <v>901</v>
      </c>
      <c r="C265" s="73" t="s">
        <v>364</v>
      </c>
      <c r="D265" s="73" t="s">
        <v>163</v>
      </c>
      <c r="E265" s="73"/>
      <c r="F265" s="57"/>
      <c r="G265" s="73"/>
      <c r="H265" s="57">
        <f>H266</f>
        <v>126000</v>
      </c>
      <c r="I265" s="77"/>
      <c r="J265" s="57">
        <f>J266</f>
        <v>126000</v>
      </c>
      <c r="K265" s="77"/>
      <c r="L265" s="57">
        <f>L266</f>
        <v>126000</v>
      </c>
      <c r="M265" s="77"/>
      <c r="N265" s="57">
        <f>N266</f>
        <v>126000</v>
      </c>
      <c r="O265" s="77"/>
      <c r="P265" s="57">
        <f>P266</f>
        <v>131000</v>
      </c>
      <c r="Q265" s="50"/>
      <c r="R265" s="57">
        <f>R266</f>
        <v>131000</v>
      </c>
      <c r="S265" s="50"/>
      <c r="T265" s="57">
        <f>T266</f>
        <v>131000</v>
      </c>
    </row>
    <row r="266" spans="1:20" ht="35.25" customHeight="1">
      <c r="A266" s="14" t="s">
        <v>491</v>
      </c>
      <c r="B266" s="73">
        <v>901</v>
      </c>
      <c r="C266" s="73" t="s">
        <v>364</v>
      </c>
      <c r="D266" s="73" t="s">
        <v>164</v>
      </c>
      <c r="E266" s="73" t="s">
        <v>463</v>
      </c>
      <c r="F266" s="57"/>
      <c r="G266" s="73"/>
      <c r="H266" s="57">
        <v>126000</v>
      </c>
      <c r="I266" s="77"/>
      <c r="J266" s="78">
        <f>H266+I266</f>
        <v>126000</v>
      </c>
      <c r="K266" s="77"/>
      <c r="L266" s="78">
        <f>J266+K266</f>
        <v>126000</v>
      </c>
      <c r="M266" s="77"/>
      <c r="N266" s="78">
        <f>L266+M266</f>
        <v>126000</v>
      </c>
      <c r="O266" s="77">
        <v>5000</v>
      </c>
      <c r="P266" s="78">
        <f>N266+O266</f>
        <v>131000</v>
      </c>
      <c r="Q266" s="50"/>
      <c r="R266" s="78">
        <f>P266+Q266</f>
        <v>131000</v>
      </c>
      <c r="S266" s="50"/>
      <c r="T266" s="78">
        <f>R266+S266</f>
        <v>131000</v>
      </c>
    </row>
    <row r="267" spans="1:20" ht="35.25" customHeight="1">
      <c r="A267" s="44" t="s">
        <v>300</v>
      </c>
      <c r="B267" s="73" t="s">
        <v>368</v>
      </c>
      <c r="C267" s="73" t="s">
        <v>364</v>
      </c>
      <c r="D267" s="73" t="s">
        <v>301</v>
      </c>
      <c r="E267" s="73"/>
      <c r="F267" s="57"/>
      <c r="G267" s="73"/>
      <c r="H267" s="57"/>
      <c r="I267" s="77"/>
      <c r="J267" s="78"/>
      <c r="K267" s="77"/>
      <c r="L267" s="78">
        <v>53800</v>
      </c>
      <c r="M267" s="77"/>
      <c r="N267" s="78">
        <v>53800</v>
      </c>
      <c r="O267" s="77"/>
      <c r="P267" s="78">
        <v>53800</v>
      </c>
      <c r="Q267" s="50"/>
      <c r="R267" s="78">
        <v>53800</v>
      </c>
      <c r="S267" s="50"/>
      <c r="T267" s="78">
        <v>53800</v>
      </c>
    </row>
    <row r="268" spans="1:20" ht="35.25" customHeight="1">
      <c r="A268" s="44" t="s">
        <v>491</v>
      </c>
      <c r="B268" s="73" t="s">
        <v>368</v>
      </c>
      <c r="C268" s="73" t="s">
        <v>364</v>
      </c>
      <c r="D268" s="73" t="s">
        <v>301</v>
      </c>
      <c r="E268" s="73" t="s">
        <v>463</v>
      </c>
      <c r="F268" s="57"/>
      <c r="G268" s="73"/>
      <c r="H268" s="57"/>
      <c r="I268" s="77"/>
      <c r="J268" s="78"/>
      <c r="K268" s="77">
        <v>53800</v>
      </c>
      <c r="L268" s="78">
        <f>J268+K268</f>
        <v>53800</v>
      </c>
      <c r="M268" s="77"/>
      <c r="N268" s="78">
        <f>L268+M268</f>
        <v>53800</v>
      </c>
      <c r="O268" s="77"/>
      <c r="P268" s="78">
        <f>N268+O268</f>
        <v>53800</v>
      </c>
      <c r="Q268" s="50"/>
      <c r="R268" s="78">
        <f>P268+Q268</f>
        <v>53800</v>
      </c>
      <c r="S268" s="50"/>
      <c r="T268" s="78">
        <f>R268+S268</f>
        <v>53800</v>
      </c>
    </row>
    <row r="269" spans="1:20" ht="47.25" customHeight="1">
      <c r="A269" s="29" t="s">
        <v>159</v>
      </c>
      <c r="B269" s="73">
        <v>901</v>
      </c>
      <c r="C269" s="73" t="s">
        <v>364</v>
      </c>
      <c r="D269" s="73" t="s">
        <v>233</v>
      </c>
      <c r="E269" s="73"/>
      <c r="F269" s="57"/>
      <c r="G269" s="73"/>
      <c r="H269" s="57">
        <f>H270</f>
        <v>500000</v>
      </c>
      <c r="I269" s="77"/>
      <c r="J269" s="57">
        <f>J270</f>
        <v>500000</v>
      </c>
      <c r="K269" s="77"/>
      <c r="L269" s="57">
        <f>L270</f>
        <v>500000</v>
      </c>
      <c r="M269" s="77"/>
      <c r="N269" s="57">
        <f>N270</f>
        <v>500000</v>
      </c>
      <c r="O269" s="77"/>
      <c r="P269" s="57">
        <f>P270</f>
        <v>500000</v>
      </c>
      <c r="Q269" s="50"/>
      <c r="R269" s="57">
        <f>R270</f>
        <v>500000</v>
      </c>
      <c r="S269" s="50"/>
      <c r="T269" s="57">
        <f>T270</f>
        <v>500000</v>
      </c>
    </row>
    <row r="270" spans="1:20" ht="36.75" customHeight="1">
      <c r="A270" s="29" t="s">
        <v>160</v>
      </c>
      <c r="B270" s="73">
        <v>901</v>
      </c>
      <c r="C270" s="73" t="s">
        <v>364</v>
      </c>
      <c r="D270" s="73" t="s">
        <v>165</v>
      </c>
      <c r="E270" s="73"/>
      <c r="F270" s="57"/>
      <c r="G270" s="73"/>
      <c r="H270" s="57">
        <f>H271</f>
        <v>500000</v>
      </c>
      <c r="I270" s="77"/>
      <c r="J270" s="57">
        <f>J271</f>
        <v>500000</v>
      </c>
      <c r="K270" s="77"/>
      <c r="L270" s="57">
        <f>L271</f>
        <v>500000</v>
      </c>
      <c r="M270" s="77"/>
      <c r="N270" s="57">
        <f>N271</f>
        <v>500000</v>
      </c>
      <c r="O270" s="77"/>
      <c r="P270" s="57">
        <f>P271</f>
        <v>500000</v>
      </c>
      <c r="Q270" s="50"/>
      <c r="R270" s="57">
        <f>R271</f>
        <v>500000</v>
      </c>
      <c r="S270" s="50"/>
      <c r="T270" s="57">
        <f>T271</f>
        <v>500000</v>
      </c>
    </row>
    <row r="271" spans="1:20" ht="18.75" customHeight="1">
      <c r="A271" s="14" t="s">
        <v>472</v>
      </c>
      <c r="B271" s="73">
        <v>901</v>
      </c>
      <c r="C271" s="73" t="s">
        <v>364</v>
      </c>
      <c r="D271" s="73" t="s">
        <v>166</v>
      </c>
      <c r="E271" s="73" t="s">
        <v>471</v>
      </c>
      <c r="F271" s="57"/>
      <c r="G271" s="73"/>
      <c r="H271" s="57">
        <v>500000</v>
      </c>
      <c r="I271" s="77"/>
      <c r="J271" s="78">
        <f>H271+I271</f>
        <v>500000</v>
      </c>
      <c r="K271" s="77"/>
      <c r="L271" s="78">
        <f>J271+K271</f>
        <v>500000</v>
      </c>
      <c r="M271" s="77"/>
      <c r="N271" s="78">
        <f>L271+M271</f>
        <v>500000</v>
      </c>
      <c r="O271" s="77"/>
      <c r="P271" s="78">
        <f>N271+O271</f>
        <v>500000</v>
      </c>
      <c r="Q271" s="50"/>
      <c r="R271" s="78">
        <f>P271+Q271</f>
        <v>500000</v>
      </c>
      <c r="S271" s="50"/>
      <c r="T271" s="78">
        <f>R271+S271</f>
        <v>500000</v>
      </c>
    </row>
    <row r="272" spans="1:20" ht="47.25" customHeight="1">
      <c r="A272" s="45" t="s">
        <v>161</v>
      </c>
      <c r="B272" s="73">
        <v>901</v>
      </c>
      <c r="C272" s="73" t="s">
        <v>364</v>
      </c>
      <c r="D272" s="73" t="s">
        <v>236</v>
      </c>
      <c r="E272" s="73"/>
      <c r="F272" s="57"/>
      <c r="G272" s="73"/>
      <c r="H272" s="57">
        <f>H273</f>
        <v>397000</v>
      </c>
      <c r="I272" s="77"/>
      <c r="J272" s="57">
        <f>J273</f>
        <v>397000</v>
      </c>
      <c r="K272" s="77"/>
      <c r="L272" s="57">
        <f>L273</f>
        <v>397000</v>
      </c>
      <c r="M272" s="77"/>
      <c r="N272" s="57">
        <f>N273</f>
        <v>397000</v>
      </c>
      <c r="O272" s="77"/>
      <c r="P272" s="57">
        <f>P273</f>
        <v>397000</v>
      </c>
      <c r="Q272" s="50"/>
      <c r="R272" s="57">
        <f>R273</f>
        <v>397000</v>
      </c>
      <c r="S272" s="50"/>
      <c r="T272" s="57">
        <f>T273</f>
        <v>397000</v>
      </c>
    </row>
    <row r="273" spans="1:20" ht="52.5" customHeight="1">
      <c r="A273" s="30" t="s">
        <v>162</v>
      </c>
      <c r="B273" s="73">
        <v>901</v>
      </c>
      <c r="C273" s="73" t="s">
        <v>364</v>
      </c>
      <c r="D273" s="73" t="s">
        <v>234</v>
      </c>
      <c r="E273" s="73"/>
      <c r="F273" s="57"/>
      <c r="G273" s="73"/>
      <c r="H273" s="57">
        <f>H276</f>
        <v>397000</v>
      </c>
      <c r="I273" s="77"/>
      <c r="J273" s="57">
        <f>J276</f>
        <v>397000</v>
      </c>
      <c r="K273" s="77"/>
      <c r="L273" s="57">
        <f>L276</f>
        <v>397000</v>
      </c>
      <c r="M273" s="77"/>
      <c r="N273" s="57">
        <f>N276</f>
        <v>397000</v>
      </c>
      <c r="O273" s="77"/>
      <c r="P273" s="57">
        <f>P276</f>
        <v>397000</v>
      </c>
      <c r="Q273" s="50"/>
      <c r="R273" s="57">
        <f>R276</f>
        <v>397000</v>
      </c>
      <c r="S273" s="50"/>
      <c r="T273" s="57">
        <f>T276</f>
        <v>397000</v>
      </c>
    </row>
    <row r="274" spans="1:20" ht="1.5" customHeight="1" hidden="1">
      <c r="A274" s="31"/>
      <c r="B274" s="83"/>
      <c r="C274" s="83"/>
      <c r="D274" s="73"/>
      <c r="E274" s="73"/>
      <c r="F274" s="57"/>
      <c r="G274" s="73"/>
      <c r="H274" s="57"/>
      <c r="I274" s="77"/>
      <c r="J274" s="77"/>
      <c r="K274" s="77"/>
      <c r="L274" s="77"/>
      <c r="M274" s="77"/>
      <c r="N274" s="77"/>
      <c r="O274" s="77"/>
      <c r="P274" s="77"/>
      <c r="Q274" s="50"/>
      <c r="R274" s="77"/>
      <c r="S274" s="50"/>
      <c r="T274" s="77"/>
    </row>
    <row r="275" spans="1:20" ht="17.25" customHeight="1" hidden="1">
      <c r="A275" s="12"/>
      <c r="B275" s="83"/>
      <c r="C275" s="83"/>
      <c r="D275" s="83"/>
      <c r="E275" s="83"/>
      <c r="F275" s="79"/>
      <c r="G275" s="83"/>
      <c r="H275" s="79"/>
      <c r="I275" s="77"/>
      <c r="J275" s="77"/>
      <c r="K275" s="77"/>
      <c r="L275" s="77"/>
      <c r="M275" s="77"/>
      <c r="N275" s="77"/>
      <c r="O275" s="77"/>
      <c r="P275" s="77"/>
      <c r="Q275" s="50"/>
      <c r="R275" s="77"/>
      <c r="S275" s="50"/>
      <c r="T275" s="77"/>
    </row>
    <row r="276" spans="1:20" ht="31.5" customHeight="1">
      <c r="A276" s="12" t="s">
        <v>488</v>
      </c>
      <c r="B276" s="73">
        <v>901</v>
      </c>
      <c r="C276" s="73" t="s">
        <v>364</v>
      </c>
      <c r="D276" s="73" t="s">
        <v>235</v>
      </c>
      <c r="E276" s="73" t="s">
        <v>487</v>
      </c>
      <c r="F276" s="79"/>
      <c r="G276" s="83"/>
      <c r="H276" s="79">
        <v>397000</v>
      </c>
      <c r="I276" s="77"/>
      <c r="J276" s="78">
        <f>H276+I276</f>
        <v>397000</v>
      </c>
      <c r="K276" s="77"/>
      <c r="L276" s="78">
        <f>J276+K276</f>
        <v>397000</v>
      </c>
      <c r="M276" s="77"/>
      <c r="N276" s="78">
        <f>L276+M276</f>
        <v>397000</v>
      </c>
      <c r="O276" s="77"/>
      <c r="P276" s="78">
        <f>N276+O276</f>
        <v>397000</v>
      </c>
      <c r="Q276" s="50"/>
      <c r="R276" s="78">
        <f>P276+Q276</f>
        <v>397000</v>
      </c>
      <c r="S276" s="50"/>
      <c r="T276" s="78">
        <f>R276+S276</f>
        <v>397000</v>
      </c>
    </row>
    <row r="277" spans="1:20" ht="16.5" customHeight="1">
      <c r="A277" s="20" t="s">
        <v>415</v>
      </c>
      <c r="B277" s="83" t="s">
        <v>368</v>
      </c>
      <c r="C277" s="83" t="s">
        <v>380</v>
      </c>
      <c r="D277" s="83"/>
      <c r="E277" s="83"/>
      <c r="F277" s="79" t="e">
        <f>F278+F282+F321</f>
        <v>#REF!</v>
      </c>
      <c r="G277" s="83"/>
      <c r="H277" s="79">
        <f>H282+H305+H278</f>
        <v>90049000</v>
      </c>
      <c r="I277" s="77"/>
      <c r="J277" s="79">
        <f>J282+J305+J278</f>
        <v>90633069</v>
      </c>
      <c r="K277" s="78"/>
      <c r="L277" s="79">
        <f>L282+L305+L278</f>
        <v>90698058</v>
      </c>
      <c r="M277" s="77"/>
      <c r="N277" s="79">
        <f>N282+N305+N278</f>
        <v>90698058</v>
      </c>
      <c r="O277" s="77"/>
      <c r="P277" s="79">
        <f>P282+P305+P278</f>
        <v>90698058</v>
      </c>
      <c r="Q277" s="50"/>
      <c r="R277" s="79">
        <f>R282+R305+R278</f>
        <v>96505958</v>
      </c>
      <c r="S277" s="50"/>
      <c r="T277" s="79">
        <f>T282+T305+T278</f>
        <v>96505958</v>
      </c>
    </row>
    <row r="278" spans="1:20" ht="17.25" customHeight="1">
      <c r="A278" s="20" t="s">
        <v>416</v>
      </c>
      <c r="B278" s="83" t="s">
        <v>368</v>
      </c>
      <c r="C278" s="83" t="s">
        <v>397</v>
      </c>
      <c r="D278" s="83"/>
      <c r="E278" s="83"/>
      <c r="F278" s="79">
        <f>F279</f>
        <v>0</v>
      </c>
      <c r="G278" s="83"/>
      <c r="H278" s="79">
        <f>H279</f>
        <v>4925000</v>
      </c>
      <c r="I278" s="77"/>
      <c r="J278" s="79">
        <f>J279</f>
        <v>4959069</v>
      </c>
      <c r="K278" s="77"/>
      <c r="L278" s="79">
        <f>L279</f>
        <v>4934058</v>
      </c>
      <c r="M278" s="77"/>
      <c r="N278" s="79">
        <f>N279</f>
        <v>4934058</v>
      </c>
      <c r="O278" s="77"/>
      <c r="P278" s="79">
        <f>P279</f>
        <v>4934058</v>
      </c>
      <c r="Q278" s="50"/>
      <c r="R278" s="79">
        <f>R279</f>
        <v>4934058</v>
      </c>
      <c r="S278" s="50"/>
      <c r="T278" s="79">
        <f>T279</f>
        <v>4934058</v>
      </c>
    </row>
    <row r="279" spans="1:20" ht="22.5" customHeight="1">
      <c r="A279" s="19" t="s">
        <v>167</v>
      </c>
      <c r="B279" s="83" t="s">
        <v>368</v>
      </c>
      <c r="C279" s="83" t="s">
        <v>397</v>
      </c>
      <c r="D279" s="83" t="s">
        <v>119</v>
      </c>
      <c r="E279" s="83"/>
      <c r="F279" s="79">
        <f>F280</f>
        <v>0</v>
      </c>
      <c r="G279" s="83"/>
      <c r="H279" s="79">
        <f>H280</f>
        <v>4925000</v>
      </c>
      <c r="I279" s="77"/>
      <c r="J279" s="79">
        <f>J280</f>
        <v>4959069</v>
      </c>
      <c r="K279" s="78"/>
      <c r="L279" s="79">
        <f>L280</f>
        <v>4934058</v>
      </c>
      <c r="M279" s="77"/>
      <c r="N279" s="79">
        <f>N280</f>
        <v>4934058</v>
      </c>
      <c r="O279" s="77"/>
      <c r="P279" s="79">
        <f>P280</f>
        <v>4934058</v>
      </c>
      <c r="Q279" s="50"/>
      <c r="R279" s="79">
        <f>R280</f>
        <v>4934058</v>
      </c>
      <c r="S279" s="50"/>
      <c r="T279" s="79">
        <f>T280</f>
        <v>4934058</v>
      </c>
    </row>
    <row r="280" spans="1:20" ht="20.25" customHeight="1">
      <c r="A280" s="19" t="s">
        <v>416</v>
      </c>
      <c r="B280" s="83" t="s">
        <v>368</v>
      </c>
      <c r="C280" s="83" t="s">
        <v>397</v>
      </c>
      <c r="D280" s="83" t="s">
        <v>168</v>
      </c>
      <c r="E280" s="83"/>
      <c r="F280" s="79">
        <f>F281</f>
        <v>0</v>
      </c>
      <c r="G280" s="83"/>
      <c r="H280" s="79">
        <f>H281</f>
        <v>4925000</v>
      </c>
      <c r="I280" s="77"/>
      <c r="J280" s="79">
        <f>J281</f>
        <v>4959069</v>
      </c>
      <c r="K280" s="77"/>
      <c r="L280" s="79">
        <f>L281</f>
        <v>4934058</v>
      </c>
      <c r="M280" s="77"/>
      <c r="N280" s="79">
        <f>N281</f>
        <v>4934058</v>
      </c>
      <c r="O280" s="77"/>
      <c r="P280" s="79">
        <f>P281</f>
        <v>4934058</v>
      </c>
      <c r="Q280" s="50"/>
      <c r="R280" s="79">
        <f>R281</f>
        <v>4934058</v>
      </c>
      <c r="S280" s="50"/>
      <c r="T280" s="79">
        <f>T281</f>
        <v>4934058</v>
      </c>
    </row>
    <row r="281" spans="1:20" ht="31.5">
      <c r="A281" s="19" t="s">
        <v>150</v>
      </c>
      <c r="B281" s="83" t="s">
        <v>368</v>
      </c>
      <c r="C281" s="83" t="s">
        <v>397</v>
      </c>
      <c r="D281" s="83" t="s">
        <v>101</v>
      </c>
      <c r="E281" s="83" t="s">
        <v>477</v>
      </c>
      <c r="F281" s="79">
        <v>0</v>
      </c>
      <c r="G281" s="83" t="s">
        <v>524</v>
      </c>
      <c r="H281" s="79">
        <v>4925000</v>
      </c>
      <c r="I281" s="88">
        <v>34069</v>
      </c>
      <c r="J281" s="78">
        <f>H281+I281</f>
        <v>4959069</v>
      </c>
      <c r="K281" s="77">
        <f>-25011</f>
        <v>-25011</v>
      </c>
      <c r="L281" s="78">
        <f>J281+K281</f>
        <v>4934058</v>
      </c>
      <c r="M281" s="77"/>
      <c r="N281" s="78">
        <f>L281+M281</f>
        <v>4934058</v>
      </c>
      <c r="O281" s="77"/>
      <c r="P281" s="78">
        <f>N281+O281</f>
        <v>4934058</v>
      </c>
      <c r="Q281" s="50"/>
      <c r="R281" s="78">
        <f>P281+Q281</f>
        <v>4934058</v>
      </c>
      <c r="S281" s="50"/>
      <c r="T281" s="78">
        <f>R281+S281</f>
        <v>4934058</v>
      </c>
    </row>
    <row r="282" spans="1:20" ht="23.25" customHeight="1">
      <c r="A282" s="12" t="s">
        <v>417</v>
      </c>
      <c r="B282" s="73" t="s">
        <v>368</v>
      </c>
      <c r="C282" s="73">
        <v>1003</v>
      </c>
      <c r="D282" s="73"/>
      <c r="E282" s="73"/>
      <c r="F282" s="57" t="e">
        <f>F285+#REF!+#REF!+#REF!+#REF!+#REF!+#REF!+#REF!+#REF!+#REF!</f>
        <v>#REF!</v>
      </c>
      <c r="G282" s="73"/>
      <c r="H282" s="57">
        <f>H285</f>
        <v>81889611</v>
      </c>
      <c r="I282" s="88"/>
      <c r="J282" s="57">
        <f>J285+J283+J297</f>
        <v>80517862</v>
      </c>
      <c r="K282" s="77"/>
      <c r="L282" s="57">
        <f>L285+L283+L297</f>
        <v>80607862</v>
      </c>
      <c r="M282" s="77"/>
      <c r="N282" s="57">
        <f>N285+N283+N297</f>
        <v>80607862</v>
      </c>
      <c r="O282" s="77"/>
      <c r="P282" s="57">
        <f>P285+P283+P297</f>
        <v>80607862</v>
      </c>
      <c r="Q282" s="50"/>
      <c r="R282" s="57">
        <f>R285+R283+R297</f>
        <v>86415762</v>
      </c>
      <c r="S282" s="50"/>
      <c r="T282" s="57">
        <f>T285+T283+T297</f>
        <v>86415762</v>
      </c>
    </row>
    <row r="283" spans="1:20" ht="33" customHeight="1">
      <c r="A283" s="19" t="s">
        <v>459</v>
      </c>
      <c r="B283" s="83" t="s">
        <v>368</v>
      </c>
      <c r="C283" s="83" t="s">
        <v>376</v>
      </c>
      <c r="D283" s="83" t="s">
        <v>120</v>
      </c>
      <c r="E283" s="83"/>
      <c r="F283" s="57"/>
      <c r="G283" s="73"/>
      <c r="H283" s="57">
        <v>0</v>
      </c>
      <c r="I283" s="88"/>
      <c r="J283" s="57">
        <f>J284</f>
        <v>100000</v>
      </c>
      <c r="K283" s="77"/>
      <c r="L283" s="57">
        <f>L284</f>
        <v>190000</v>
      </c>
      <c r="M283" s="77"/>
      <c r="N283" s="57">
        <f>N284</f>
        <v>190000</v>
      </c>
      <c r="O283" s="77"/>
      <c r="P283" s="57">
        <f>P284</f>
        <v>190000</v>
      </c>
      <c r="Q283" s="50"/>
      <c r="R283" s="57">
        <f>R284</f>
        <v>190000</v>
      </c>
      <c r="S283" s="50"/>
      <c r="T283" s="57">
        <f>T284</f>
        <v>190000</v>
      </c>
    </row>
    <row r="284" spans="1:20" ht="54.75" customHeight="1">
      <c r="A284" s="19" t="s">
        <v>250</v>
      </c>
      <c r="B284" s="83" t="s">
        <v>368</v>
      </c>
      <c r="C284" s="83" t="s">
        <v>376</v>
      </c>
      <c r="D284" s="83" t="s">
        <v>120</v>
      </c>
      <c r="E284" s="83" t="s">
        <v>251</v>
      </c>
      <c r="F284" s="57"/>
      <c r="G284" s="73"/>
      <c r="H284" s="57"/>
      <c r="I284" s="88">
        <v>100000</v>
      </c>
      <c r="J284" s="78">
        <f>H284+I284</f>
        <v>100000</v>
      </c>
      <c r="K284" s="77">
        <f>90000</f>
        <v>90000</v>
      </c>
      <c r="L284" s="78">
        <f>J284+K284</f>
        <v>190000</v>
      </c>
      <c r="M284" s="77"/>
      <c r="N284" s="78">
        <f>L284+M284</f>
        <v>190000</v>
      </c>
      <c r="O284" s="77"/>
      <c r="P284" s="78">
        <f>N284+O284</f>
        <v>190000</v>
      </c>
      <c r="Q284" s="50"/>
      <c r="R284" s="78">
        <f>P284+Q284</f>
        <v>190000</v>
      </c>
      <c r="S284" s="50"/>
      <c r="T284" s="78">
        <f>R284+S284</f>
        <v>190000</v>
      </c>
    </row>
    <row r="285" spans="1:20" ht="94.5" customHeight="1">
      <c r="A285" s="24" t="s">
        <v>537</v>
      </c>
      <c r="B285" s="73" t="s">
        <v>368</v>
      </c>
      <c r="C285" s="73">
        <v>1003</v>
      </c>
      <c r="D285" s="73" t="s">
        <v>348</v>
      </c>
      <c r="E285" s="73"/>
      <c r="F285" s="57">
        <f>F286+F290</f>
        <v>0</v>
      </c>
      <c r="G285" s="73"/>
      <c r="H285" s="57">
        <f>H286</f>
        <v>81889611</v>
      </c>
      <c r="I285" s="77"/>
      <c r="J285" s="57">
        <f>J286</f>
        <v>79967862</v>
      </c>
      <c r="K285" s="77"/>
      <c r="L285" s="57">
        <f>L286</f>
        <v>79967862</v>
      </c>
      <c r="M285" s="77"/>
      <c r="N285" s="57">
        <f>N286</f>
        <v>79967862</v>
      </c>
      <c r="O285" s="77"/>
      <c r="P285" s="57">
        <f>P286</f>
        <v>79967862</v>
      </c>
      <c r="Q285" s="50"/>
      <c r="R285" s="57">
        <f>R286</f>
        <v>79967862</v>
      </c>
      <c r="S285" s="50"/>
      <c r="T285" s="57">
        <f>T286</f>
        <v>79967862</v>
      </c>
    </row>
    <row r="286" spans="1:20" ht="78.75" customHeight="1">
      <c r="A286" s="24" t="s">
        <v>214</v>
      </c>
      <c r="B286" s="73" t="s">
        <v>368</v>
      </c>
      <c r="C286" s="73" t="s">
        <v>376</v>
      </c>
      <c r="D286" s="73" t="s">
        <v>582</v>
      </c>
      <c r="E286" s="73"/>
      <c r="F286" s="57">
        <f>F287</f>
        <v>0</v>
      </c>
      <c r="G286" s="73"/>
      <c r="H286" s="57">
        <f>H287+H290+H293</f>
        <v>81889611</v>
      </c>
      <c r="I286" s="77"/>
      <c r="J286" s="57">
        <f>J287+J290+J293</f>
        <v>79967862</v>
      </c>
      <c r="K286" s="78"/>
      <c r="L286" s="57">
        <f>L287+L290+L293</f>
        <v>79967862</v>
      </c>
      <c r="M286" s="77"/>
      <c r="N286" s="57">
        <f>N287+N290+N293</f>
        <v>79967862</v>
      </c>
      <c r="O286" s="77"/>
      <c r="P286" s="57">
        <f>P287+P290+P293</f>
        <v>79967862</v>
      </c>
      <c r="Q286" s="50"/>
      <c r="R286" s="57">
        <f>R287+R290+R293</f>
        <v>79967862</v>
      </c>
      <c r="S286" s="50"/>
      <c r="T286" s="57">
        <f>T287+T290+T293</f>
        <v>79967862</v>
      </c>
    </row>
    <row r="287" spans="1:20" ht="243.75" customHeight="1">
      <c r="A287" s="24" t="s">
        <v>583</v>
      </c>
      <c r="B287" s="73" t="s">
        <v>368</v>
      </c>
      <c r="C287" s="73" t="s">
        <v>376</v>
      </c>
      <c r="D287" s="73" t="s">
        <v>584</v>
      </c>
      <c r="E287" s="73"/>
      <c r="F287" s="57">
        <v>0</v>
      </c>
      <c r="G287" s="73" t="s">
        <v>529</v>
      </c>
      <c r="H287" s="57">
        <f>H288</f>
        <v>7450539</v>
      </c>
      <c r="I287" s="77"/>
      <c r="J287" s="57">
        <f>J288</f>
        <v>7488039</v>
      </c>
      <c r="K287" s="77"/>
      <c r="L287" s="57">
        <f>L288</f>
        <v>7488039</v>
      </c>
      <c r="M287" s="77"/>
      <c r="N287" s="57">
        <f>N288</f>
        <v>7488039</v>
      </c>
      <c r="O287" s="77"/>
      <c r="P287" s="57">
        <f>P288</f>
        <v>7488039</v>
      </c>
      <c r="Q287" s="50"/>
      <c r="R287" s="57">
        <f>R288</f>
        <v>7488039</v>
      </c>
      <c r="S287" s="50"/>
      <c r="T287" s="57">
        <f>T288+T289</f>
        <v>7488039</v>
      </c>
    </row>
    <row r="288" spans="1:20" ht="54" customHeight="1">
      <c r="A288" s="20" t="s">
        <v>266</v>
      </c>
      <c r="B288" s="73" t="s">
        <v>368</v>
      </c>
      <c r="C288" s="73" t="s">
        <v>376</v>
      </c>
      <c r="D288" s="73" t="s">
        <v>584</v>
      </c>
      <c r="E288" s="73" t="s">
        <v>484</v>
      </c>
      <c r="F288" s="57"/>
      <c r="G288" s="73"/>
      <c r="H288" s="57">
        <v>7450539</v>
      </c>
      <c r="I288" s="88">
        <v>37500</v>
      </c>
      <c r="J288" s="78">
        <f>H288+I288</f>
        <v>7488039</v>
      </c>
      <c r="K288" s="77"/>
      <c r="L288" s="78">
        <f>J288+K288</f>
        <v>7488039</v>
      </c>
      <c r="M288" s="77"/>
      <c r="N288" s="78">
        <f>L288+M288</f>
        <v>7488039</v>
      </c>
      <c r="O288" s="77"/>
      <c r="P288" s="78">
        <f>N288+O288</f>
        <v>7488039</v>
      </c>
      <c r="Q288" s="50"/>
      <c r="R288" s="78">
        <f>P288+Q288</f>
        <v>7488039</v>
      </c>
      <c r="S288" s="50">
        <f>-24599.96-12900.04</f>
        <v>-37500</v>
      </c>
      <c r="T288" s="78">
        <f>R288+S288</f>
        <v>7450539</v>
      </c>
    </row>
    <row r="289" spans="1:20" ht="54" customHeight="1">
      <c r="A289" s="20" t="s">
        <v>491</v>
      </c>
      <c r="B289" s="73" t="s">
        <v>368</v>
      </c>
      <c r="C289" s="73" t="s">
        <v>376</v>
      </c>
      <c r="D289" s="73" t="s">
        <v>584</v>
      </c>
      <c r="E289" s="73" t="s">
        <v>463</v>
      </c>
      <c r="F289" s="57"/>
      <c r="G289" s="73"/>
      <c r="H289" s="57"/>
      <c r="I289" s="88"/>
      <c r="J289" s="78"/>
      <c r="K289" s="77"/>
      <c r="L289" s="78"/>
      <c r="M289" s="77"/>
      <c r="N289" s="78"/>
      <c r="O289" s="77"/>
      <c r="P289" s="78"/>
      <c r="Q289" s="50"/>
      <c r="R289" s="78"/>
      <c r="S289" s="50">
        <f>24599.96+12900.04</f>
        <v>37500</v>
      </c>
      <c r="T289" s="78">
        <f>R289+S289</f>
        <v>37500</v>
      </c>
    </row>
    <row r="290" spans="1:20" ht="255" customHeight="1">
      <c r="A290" s="24" t="s">
        <v>585</v>
      </c>
      <c r="B290" s="73" t="s">
        <v>368</v>
      </c>
      <c r="C290" s="73">
        <v>1003</v>
      </c>
      <c r="D290" s="73" t="s">
        <v>586</v>
      </c>
      <c r="E290" s="73"/>
      <c r="F290" s="57">
        <f>F293</f>
        <v>0</v>
      </c>
      <c r="G290" s="73"/>
      <c r="H290" s="57">
        <f>H291</f>
        <v>64545072</v>
      </c>
      <c r="I290" s="77"/>
      <c r="J290" s="57">
        <f>J291</f>
        <v>62585823</v>
      </c>
      <c r="K290" s="77"/>
      <c r="L290" s="57">
        <f>L291</f>
        <v>62585823</v>
      </c>
      <c r="M290" s="77"/>
      <c r="N290" s="57">
        <f>N291</f>
        <v>62585823</v>
      </c>
      <c r="O290" s="77"/>
      <c r="P290" s="57">
        <f>P291</f>
        <v>62585823</v>
      </c>
      <c r="Q290" s="50"/>
      <c r="R290" s="57">
        <f>R291</f>
        <v>62585823</v>
      </c>
      <c r="S290" s="50"/>
      <c r="T290" s="57">
        <f>T291+T292</f>
        <v>62585823</v>
      </c>
    </row>
    <row r="291" spans="1:20" ht="50.25" customHeight="1">
      <c r="A291" s="20" t="s">
        <v>266</v>
      </c>
      <c r="B291" s="73" t="s">
        <v>368</v>
      </c>
      <c r="C291" s="73" t="s">
        <v>376</v>
      </c>
      <c r="D291" s="73" t="s">
        <v>586</v>
      </c>
      <c r="E291" s="73" t="s">
        <v>484</v>
      </c>
      <c r="F291" s="57"/>
      <c r="G291" s="73"/>
      <c r="H291" s="57">
        <v>64545072</v>
      </c>
      <c r="I291" s="88">
        <v>-1959249</v>
      </c>
      <c r="J291" s="78">
        <f>H291+I291</f>
        <v>62585823</v>
      </c>
      <c r="K291" s="77"/>
      <c r="L291" s="78">
        <f>J291+K291</f>
        <v>62585823</v>
      </c>
      <c r="M291" s="77"/>
      <c r="N291" s="78">
        <f>L291+M291</f>
        <v>62585823</v>
      </c>
      <c r="O291" s="77"/>
      <c r="P291" s="78">
        <f>N291+O291</f>
        <v>62585823</v>
      </c>
      <c r="Q291" s="50"/>
      <c r="R291" s="78">
        <f>P291+Q291</f>
        <v>62585823</v>
      </c>
      <c r="S291" s="50">
        <f>-742598.75-182317.25</f>
        <v>-924916</v>
      </c>
      <c r="T291" s="78">
        <f>R291+S291</f>
        <v>61660907</v>
      </c>
    </row>
    <row r="292" spans="1:20" ht="50.25" customHeight="1">
      <c r="A292" s="20" t="s">
        <v>491</v>
      </c>
      <c r="B292" s="73" t="s">
        <v>368</v>
      </c>
      <c r="C292" s="73" t="s">
        <v>376</v>
      </c>
      <c r="D292" s="73" t="s">
        <v>586</v>
      </c>
      <c r="E292" s="73" t="s">
        <v>463</v>
      </c>
      <c r="F292" s="57"/>
      <c r="G292" s="73"/>
      <c r="H292" s="57"/>
      <c r="I292" s="88"/>
      <c r="J292" s="78"/>
      <c r="K292" s="77"/>
      <c r="L292" s="78"/>
      <c r="M292" s="77"/>
      <c r="N292" s="78"/>
      <c r="O292" s="77"/>
      <c r="P292" s="78"/>
      <c r="Q292" s="50"/>
      <c r="R292" s="78"/>
      <c r="S292" s="50">
        <f>742598.75+182317.25</f>
        <v>924916</v>
      </c>
      <c r="T292" s="78">
        <f>R292+S292</f>
        <v>924916</v>
      </c>
    </row>
    <row r="293" spans="1:20" ht="238.5" customHeight="1">
      <c r="A293" s="24" t="s">
        <v>587</v>
      </c>
      <c r="B293" s="73" t="s">
        <v>368</v>
      </c>
      <c r="C293" s="73" t="s">
        <v>376</v>
      </c>
      <c r="D293" s="73" t="s">
        <v>588</v>
      </c>
      <c r="E293" s="73"/>
      <c r="F293" s="57">
        <v>0</v>
      </c>
      <c r="G293" s="73" t="s">
        <v>507</v>
      </c>
      <c r="H293" s="57">
        <f>H294</f>
        <v>9894000</v>
      </c>
      <c r="I293" s="77"/>
      <c r="J293" s="57">
        <f>J294</f>
        <v>9894000</v>
      </c>
      <c r="K293" s="77"/>
      <c r="L293" s="57">
        <f>L294+L295</f>
        <v>9894000</v>
      </c>
      <c r="M293" s="77"/>
      <c r="N293" s="57">
        <f>N294+N295</f>
        <v>9894000</v>
      </c>
      <c r="O293" s="77"/>
      <c r="P293" s="57">
        <f>P294+P295</f>
        <v>9894000</v>
      </c>
      <c r="Q293" s="50"/>
      <c r="R293" s="57">
        <f>R294+R295</f>
        <v>9894000</v>
      </c>
      <c r="S293" s="50"/>
      <c r="T293" s="57">
        <f>T294+T295+T296</f>
        <v>9894000</v>
      </c>
    </row>
    <row r="294" spans="1:20" s="8" customFormat="1" ht="49.5" customHeight="1">
      <c r="A294" s="12" t="s">
        <v>479</v>
      </c>
      <c r="B294" s="83" t="s">
        <v>368</v>
      </c>
      <c r="C294" s="83" t="s">
        <v>376</v>
      </c>
      <c r="D294" s="83" t="s">
        <v>588</v>
      </c>
      <c r="E294" s="83" t="s">
        <v>473</v>
      </c>
      <c r="F294" s="79"/>
      <c r="G294" s="83"/>
      <c r="H294" s="79">
        <v>9894000</v>
      </c>
      <c r="I294" s="81"/>
      <c r="J294" s="78">
        <f>H294+I294</f>
        <v>9894000</v>
      </c>
      <c r="K294" s="81">
        <f>-9894000</f>
        <v>-9894000</v>
      </c>
      <c r="L294" s="78">
        <f>J294+K294</f>
        <v>0</v>
      </c>
      <c r="M294" s="81"/>
      <c r="N294" s="78">
        <f>L294+M294</f>
        <v>0</v>
      </c>
      <c r="O294" s="81"/>
      <c r="P294" s="78">
        <f>N294+O294</f>
        <v>0</v>
      </c>
      <c r="Q294" s="109"/>
      <c r="R294" s="78">
        <f>P294+Q294</f>
        <v>0</v>
      </c>
      <c r="S294" s="109"/>
      <c r="T294" s="78">
        <f>R294+S294</f>
        <v>0</v>
      </c>
    </row>
    <row r="295" spans="1:20" s="8" customFormat="1" ht="49.5" customHeight="1">
      <c r="A295" s="12" t="s">
        <v>266</v>
      </c>
      <c r="B295" s="83" t="s">
        <v>368</v>
      </c>
      <c r="C295" s="83" t="s">
        <v>376</v>
      </c>
      <c r="D295" s="83" t="s">
        <v>588</v>
      </c>
      <c r="E295" s="83" t="s">
        <v>484</v>
      </c>
      <c r="F295" s="79"/>
      <c r="G295" s="83"/>
      <c r="H295" s="79"/>
      <c r="I295" s="81"/>
      <c r="J295" s="78"/>
      <c r="K295" s="81">
        <f>9894000</f>
        <v>9894000</v>
      </c>
      <c r="L295" s="78">
        <f>J295+K295</f>
        <v>9894000</v>
      </c>
      <c r="M295" s="81"/>
      <c r="N295" s="78">
        <f>L295+M295</f>
        <v>9894000</v>
      </c>
      <c r="O295" s="81"/>
      <c r="P295" s="78">
        <f>N295+O295</f>
        <v>9894000</v>
      </c>
      <c r="Q295" s="109"/>
      <c r="R295" s="78">
        <f>P295+Q295</f>
        <v>9894000</v>
      </c>
      <c r="S295" s="109">
        <f>-146217</f>
        <v>-146217</v>
      </c>
      <c r="T295" s="78">
        <f>R295+S295</f>
        <v>9747783</v>
      </c>
    </row>
    <row r="296" spans="1:20" s="8" customFormat="1" ht="40.5" customHeight="1">
      <c r="A296" s="12" t="s">
        <v>491</v>
      </c>
      <c r="B296" s="83" t="s">
        <v>368</v>
      </c>
      <c r="C296" s="83" t="s">
        <v>376</v>
      </c>
      <c r="D296" s="83" t="s">
        <v>588</v>
      </c>
      <c r="E296" s="83" t="s">
        <v>463</v>
      </c>
      <c r="F296" s="79"/>
      <c r="G296" s="83"/>
      <c r="H296" s="79"/>
      <c r="I296" s="81"/>
      <c r="J296" s="78"/>
      <c r="K296" s="81"/>
      <c r="L296" s="78"/>
      <c r="M296" s="81"/>
      <c r="N296" s="78"/>
      <c r="O296" s="81"/>
      <c r="P296" s="78"/>
      <c r="Q296" s="109"/>
      <c r="R296" s="78"/>
      <c r="S296" s="109">
        <f>146217</f>
        <v>146217</v>
      </c>
      <c r="T296" s="78">
        <f>R296+S296</f>
        <v>146217</v>
      </c>
    </row>
    <row r="297" spans="1:20" s="8" customFormat="1" ht="81.75" customHeight="1">
      <c r="A297" s="71" t="s">
        <v>248</v>
      </c>
      <c r="B297" s="73" t="s">
        <v>368</v>
      </c>
      <c r="C297" s="73" t="s">
        <v>376</v>
      </c>
      <c r="D297" s="73" t="s">
        <v>598</v>
      </c>
      <c r="E297" s="83"/>
      <c r="F297" s="79"/>
      <c r="G297" s="83"/>
      <c r="H297" s="79"/>
      <c r="I297" s="81"/>
      <c r="J297" s="78">
        <f>J298</f>
        <v>450000</v>
      </c>
      <c r="K297" s="81"/>
      <c r="L297" s="78">
        <f>L298</f>
        <v>450000</v>
      </c>
      <c r="M297" s="81"/>
      <c r="N297" s="78">
        <f>N298</f>
        <v>450000</v>
      </c>
      <c r="O297" s="81"/>
      <c r="P297" s="78">
        <f>P298</f>
        <v>450000</v>
      </c>
      <c r="Q297" s="109"/>
      <c r="R297" s="78">
        <f>R298</f>
        <v>6257900</v>
      </c>
      <c r="S297" s="109"/>
      <c r="T297" s="78">
        <f>T298</f>
        <v>6257900</v>
      </c>
    </row>
    <row r="298" spans="1:20" s="8" customFormat="1" ht="97.5" customHeight="1">
      <c r="A298" s="12" t="s">
        <v>322</v>
      </c>
      <c r="B298" s="83" t="s">
        <v>368</v>
      </c>
      <c r="C298" s="83" t="s">
        <v>376</v>
      </c>
      <c r="D298" s="83" t="s">
        <v>323</v>
      </c>
      <c r="E298" s="83"/>
      <c r="F298" s="79"/>
      <c r="G298" s="83"/>
      <c r="H298" s="79"/>
      <c r="I298" s="81"/>
      <c r="J298" s="78">
        <v>450000</v>
      </c>
      <c r="K298" s="81"/>
      <c r="L298" s="78">
        <v>450000</v>
      </c>
      <c r="M298" s="81"/>
      <c r="N298" s="78">
        <v>450000</v>
      </c>
      <c r="O298" s="81"/>
      <c r="P298" s="78">
        <v>450000</v>
      </c>
      <c r="Q298" s="109"/>
      <c r="R298" s="78">
        <f>R299+R301+R303</f>
        <v>6257900</v>
      </c>
      <c r="S298" s="109"/>
      <c r="T298" s="78">
        <f>T299+T301+T303</f>
        <v>6257900</v>
      </c>
    </row>
    <row r="299" spans="1:20" s="8" customFormat="1" ht="71.25" customHeight="1">
      <c r="A299" s="12" t="s">
        <v>324</v>
      </c>
      <c r="B299" s="83" t="s">
        <v>368</v>
      </c>
      <c r="C299" s="83" t="s">
        <v>376</v>
      </c>
      <c r="D299" s="83" t="s">
        <v>325</v>
      </c>
      <c r="E299" s="83"/>
      <c r="F299" s="79"/>
      <c r="G299" s="83"/>
      <c r="H299" s="79"/>
      <c r="I299" s="81"/>
      <c r="J299" s="78">
        <v>450000</v>
      </c>
      <c r="K299" s="81"/>
      <c r="L299" s="78">
        <v>450000</v>
      </c>
      <c r="M299" s="81"/>
      <c r="N299" s="78">
        <v>450000</v>
      </c>
      <c r="O299" s="81"/>
      <c r="P299" s="78">
        <v>450000</v>
      </c>
      <c r="Q299" s="109"/>
      <c r="R299" s="78">
        <f>R300</f>
        <v>450000</v>
      </c>
      <c r="S299" s="109"/>
      <c r="T299" s="78">
        <f>T300</f>
        <v>450000</v>
      </c>
    </row>
    <row r="300" spans="1:20" s="8" customFormat="1" ht="32.25" customHeight="1">
      <c r="A300" s="12" t="s">
        <v>488</v>
      </c>
      <c r="B300" s="83" t="s">
        <v>368</v>
      </c>
      <c r="C300" s="83" t="s">
        <v>376</v>
      </c>
      <c r="D300" s="83" t="s">
        <v>325</v>
      </c>
      <c r="E300" s="83" t="s">
        <v>487</v>
      </c>
      <c r="F300" s="79"/>
      <c r="G300" s="83"/>
      <c r="H300" s="79"/>
      <c r="I300" s="81">
        <v>450000</v>
      </c>
      <c r="J300" s="78">
        <v>450000</v>
      </c>
      <c r="K300" s="81"/>
      <c r="L300" s="78">
        <v>450000</v>
      </c>
      <c r="M300" s="81"/>
      <c r="N300" s="78">
        <v>450000</v>
      </c>
      <c r="O300" s="81"/>
      <c r="P300" s="78">
        <v>450000</v>
      </c>
      <c r="Q300" s="109"/>
      <c r="R300" s="78">
        <v>450000</v>
      </c>
      <c r="S300" s="109"/>
      <c r="T300" s="78">
        <v>450000</v>
      </c>
    </row>
    <row r="301" spans="1:20" s="8" customFormat="1" ht="81" customHeight="1">
      <c r="A301" s="23" t="s">
        <v>85</v>
      </c>
      <c r="B301" s="73" t="s">
        <v>368</v>
      </c>
      <c r="C301" s="73" t="s">
        <v>376</v>
      </c>
      <c r="D301" s="73" t="s">
        <v>86</v>
      </c>
      <c r="E301" s="73"/>
      <c r="F301" s="79"/>
      <c r="G301" s="83"/>
      <c r="H301" s="79"/>
      <c r="I301" s="92"/>
      <c r="J301" s="115"/>
      <c r="K301" s="121"/>
      <c r="L301" s="115"/>
      <c r="M301" s="121"/>
      <c r="N301" s="115"/>
      <c r="O301" s="121"/>
      <c r="P301" s="117"/>
      <c r="Q301" s="109"/>
      <c r="R301" s="78">
        <f>R302</f>
        <v>3949400</v>
      </c>
      <c r="S301" s="109"/>
      <c r="T301" s="78">
        <f>T302</f>
        <v>3949400</v>
      </c>
    </row>
    <row r="302" spans="1:20" s="8" customFormat="1" ht="32.25" customHeight="1">
      <c r="A302" s="23" t="s">
        <v>488</v>
      </c>
      <c r="B302" s="73" t="s">
        <v>368</v>
      </c>
      <c r="C302" s="73" t="s">
        <v>376</v>
      </c>
      <c r="D302" s="73" t="s">
        <v>86</v>
      </c>
      <c r="E302" s="73" t="s">
        <v>487</v>
      </c>
      <c r="F302" s="79"/>
      <c r="G302" s="83"/>
      <c r="H302" s="79"/>
      <c r="I302" s="92"/>
      <c r="J302" s="115"/>
      <c r="K302" s="121"/>
      <c r="L302" s="115"/>
      <c r="M302" s="121"/>
      <c r="N302" s="115"/>
      <c r="O302" s="121"/>
      <c r="P302" s="117"/>
      <c r="Q302" s="109">
        <f>3949400</f>
        <v>3949400</v>
      </c>
      <c r="R302" s="78">
        <f>P302+Q302</f>
        <v>3949400</v>
      </c>
      <c r="S302" s="109"/>
      <c r="T302" s="78">
        <f>R302+S302</f>
        <v>3949400</v>
      </c>
    </row>
    <row r="303" spans="1:20" s="8" customFormat="1" ht="68.25" customHeight="1">
      <c r="A303" s="23" t="s">
        <v>88</v>
      </c>
      <c r="B303" s="73" t="s">
        <v>368</v>
      </c>
      <c r="C303" s="73" t="s">
        <v>376</v>
      </c>
      <c r="D303" s="73" t="s">
        <v>87</v>
      </c>
      <c r="E303" s="73"/>
      <c r="F303" s="79"/>
      <c r="G303" s="83"/>
      <c r="H303" s="79"/>
      <c r="I303" s="92"/>
      <c r="J303" s="115"/>
      <c r="K303" s="121"/>
      <c r="L303" s="115"/>
      <c r="M303" s="121"/>
      <c r="N303" s="115"/>
      <c r="O303" s="121"/>
      <c r="P303" s="117"/>
      <c r="Q303" s="109"/>
      <c r="R303" s="78">
        <f>R304</f>
        <v>1858500</v>
      </c>
      <c r="S303" s="109"/>
      <c r="T303" s="78">
        <f>T304</f>
        <v>1858500</v>
      </c>
    </row>
    <row r="304" spans="1:20" s="8" customFormat="1" ht="32.25" customHeight="1">
      <c r="A304" s="23" t="s">
        <v>488</v>
      </c>
      <c r="B304" s="73" t="s">
        <v>368</v>
      </c>
      <c r="C304" s="73" t="s">
        <v>376</v>
      </c>
      <c r="D304" s="73" t="s">
        <v>87</v>
      </c>
      <c r="E304" s="73" t="s">
        <v>487</v>
      </c>
      <c r="F304" s="79"/>
      <c r="G304" s="83"/>
      <c r="H304" s="79"/>
      <c r="I304" s="92"/>
      <c r="J304" s="115"/>
      <c r="K304" s="121"/>
      <c r="L304" s="115"/>
      <c r="M304" s="121"/>
      <c r="N304" s="115"/>
      <c r="O304" s="121"/>
      <c r="P304" s="117"/>
      <c r="Q304" s="109">
        <f>1858500</f>
        <v>1858500</v>
      </c>
      <c r="R304" s="78">
        <f>P304+Q304</f>
        <v>1858500</v>
      </c>
      <c r="S304" s="109"/>
      <c r="T304" s="78">
        <f>R304+S304</f>
        <v>1858500</v>
      </c>
    </row>
    <row r="305" spans="1:20" s="8" customFormat="1" ht="32.25" customHeight="1">
      <c r="A305" s="12" t="s">
        <v>589</v>
      </c>
      <c r="B305" s="83" t="s">
        <v>368</v>
      </c>
      <c r="C305" s="83" t="s">
        <v>448</v>
      </c>
      <c r="D305" s="83"/>
      <c r="E305" s="83"/>
      <c r="F305" s="79"/>
      <c r="G305" s="83"/>
      <c r="H305" s="79">
        <f>H311+H306</f>
        <v>3234389</v>
      </c>
      <c r="I305" s="81"/>
      <c r="J305" s="79">
        <f>J311+J306</f>
        <v>5156138</v>
      </c>
      <c r="K305" s="57"/>
      <c r="L305" s="79">
        <f>L311+L306</f>
        <v>5156138</v>
      </c>
      <c r="M305" s="81"/>
      <c r="N305" s="79">
        <f>N311+N306</f>
        <v>5156138</v>
      </c>
      <c r="O305" s="81"/>
      <c r="P305" s="79">
        <f>P311+P306</f>
        <v>5156138</v>
      </c>
      <c r="Q305" s="109"/>
      <c r="R305" s="79">
        <f>R311+R306</f>
        <v>5156138</v>
      </c>
      <c r="S305" s="109"/>
      <c r="T305" s="79">
        <f>T311+T306</f>
        <v>5156138</v>
      </c>
    </row>
    <row r="306" spans="1:20" s="8" customFormat="1" ht="81.75" customHeight="1">
      <c r="A306" s="35" t="s">
        <v>121</v>
      </c>
      <c r="B306" s="83" t="s">
        <v>368</v>
      </c>
      <c r="C306" s="83" t="s">
        <v>448</v>
      </c>
      <c r="D306" s="83" t="s">
        <v>640</v>
      </c>
      <c r="E306" s="83"/>
      <c r="F306" s="79"/>
      <c r="G306" s="83"/>
      <c r="H306" s="79">
        <f>H307</f>
        <v>209000</v>
      </c>
      <c r="I306" s="81"/>
      <c r="J306" s="79">
        <f>J307</f>
        <v>209000</v>
      </c>
      <c r="K306" s="81"/>
      <c r="L306" s="79">
        <f>L307</f>
        <v>209000</v>
      </c>
      <c r="M306" s="81"/>
      <c r="N306" s="79">
        <f>N307</f>
        <v>209000</v>
      </c>
      <c r="O306" s="81"/>
      <c r="P306" s="79">
        <f>P307</f>
        <v>209000</v>
      </c>
      <c r="Q306" s="109"/>
      <c r="R306" s="79">
        <f>R307</f>
        <v>209000</v>
      </c>
      <c r="S306" s="109"/>
      <c r="T306" s="79">
        <f>T307</f>
        <v>209000</v>
      </c>
    </row>
    <row r="307" spans="1:20" s="8" customFormat="1" ht="69" customHeight="1">
      <c r="A307" s="14" t="s">
        <v>245</v>
      </c>
      <c r="B307" s="83" t="s">
        <v>368</v>
      </c>
      <c r="C307" s="83" t="s">
        <v>448</v>
      </c>
      <c r="D307" s="83" t="s">
        <v>169</v>
      </c>
      <c r="E307" s="83"/>
      <c r="F307" s="79"/>
      <c r="G307" s="83"/>
      <c r="H307" s="79">
        <f>H310</f>
        <v>209000</v>
      </c>
      <c r="I307" s="81"/>
      <c r="J307" s="79">
        <f>J310+J309</f>
        <v>209000</v>
      </c>
      <c r="K307" s="81"/>
      <c r="L307" s="79">
        <f>L310+L309</f>
        <v>209000</v>
      </c>
      <c r="M307" s="81"/>
      <c r="N307" s="79">
        <f>N310+N309</f>
        <v>209000</v>
      </c>
      <c r="O307" s="81"/>
      <c r="P307" s="79">
        <f>P310+P309</f>
        <v>209000</v>
      </c>
      <c r="Q307" s="109"/>
      <c r="R307" s="79">
        <f>R310+R309</f>
        <v>209000</v>
      </c>
      <c r="S307" s="109"/>
      <c r="T307" s="79">
        <f>T310+T309</f>
        <v>209000</v>
      </c>
    </row>
    <row r="308" spans="1:20" s="8" customFormat="1" ht="51.75" customHeight="1">
      <c r="A308" s="14" t="s">
        <v>58</v>
      </c>
      <c r="B308" s="83" t="s">
        <v>368</v>
      </c>
      <c r="C308" s="83" t="s">
        <v>448</v>
      </c>
      <c r="D308" s="83" t="s">
        <v>170</v>
      </c>
      <c r="E308" s="83"/>
      <c r="F308" s="79"/>
      <c r="G308" s="83"/>
      <c r="H308" s="79"/>
      <c r="I308" s="81"/>
      <c r="J308" s="79"/>
      <c r="K308" s="81"/>
      <c r="L308" s="79">
        <v>209000</v>
      </c>
      <c r="M308" s="81"/>
      <c r="N308" s="79">
        <v>209000</v>
      </c>
      <c r="O308" s="81"/>
      <c r="P308" s="79">
        <v>209000</v>
      </c>
      <c r="Q308" s="109"/>
      <c r="R308" s="79">
        <v>209000</v>
      </c>
      <c r="S308" s="109"/>
      <c r="T308" s="79">
        <v>209000</v>
      </c>
    </row>
    <row r="309" spans="1:20" s="8" customFormat="1" ht="63.75" customHeight="1">
      <c r="A309" s="16" t="s">
        <v>337</v>
      </c>
      <c r="B309" s="83" t="s">
        <v>368</v>
      </c>
      <c r="C309" s="83" t="s">
        <v>448</v>
      </c>
      <c r="D309" s="83" t="s">
        <v>170</v>
      </c>
      <c r="E309" s="83" t="s">
        <v>336</v>
      </c>
      <c r="F309" s="79"/>
      <c r="G309" s="83"/>
      <c r="H309" s="79"/>
      <c r="I309" s="92">
        <v>209000</v>
      </c>
      <c r="J309" s="79">
        <f>H309+I309</f>
        <v>209000</v>
      </c>
      <c r="K309" s="81"/>
      <c r="L309" s="79">
        <f>J309+K309</f>
        <v>209000</v>
      </c>
      <c r="M309" s="81"/>
      <c r="N309" s="79">
        <f>L309+M309</f>
        <v>209000</v>
      </c>
      <c r="O309" s="81"/>
      <c r="P309" s="79">
        <f>N309+O309</f>
        <v>209000</v>
      </c>
      <c r="Q309" s="109"/>
      <c r="R309" s="79">
        <f>P309+Q309</f>
        <v>209000</v>
      </c>
      <c r="S309" s="109"/>
      <c r="T309" s="79">
        <f>R309+S309</f>
        <v>209000</v>
      </c>
    </row>
    <row r="310" spans="1:20" s="8" customFormat="1" ht="22.5" customHeight="1">
      <c r="A310" s="14" t="s">
        <v>472</v>
      </c>
      <c r="B310" s="83" t="s">
        <v>368</v>
      </c>
      <c r="C310" s="83" t="s">
        <v>448</v>
      </c>
      <c r="D310" s="83" t="s">
        <v>170</v>
      </c>
      <c r="E310" s="83" t="s">
        <v>471</v>
      </c>
      <c r="F310" s="79"/>
      <c r="G310" s="83"/>
      <c r="H310" s="79">
        <v>209000</v>
      </c>
      <c r="I310" s="92">
        <v>-209000</v>
      </c>
      <c r="J310" s="78">
        <f>H310+I310</f>
        <v>0</v>
      </c>
      <c r="K310" s="81"/>
      <c r="L310" s="78">
        <f>J310+K310</f>
        <v>0</v>
      </c>
      <c r="M310" s="81"/>
      <c r="N310" s="78">
        <f>L310+M310</f>
        <v>0</v>
      </c>
      <c r="O310" s="81"/>
      <c r="P310" s="78">
        <f>N310+O310</f>
        <v>0</v>
      </c>
      <c r="Q310" s="109"/>
      <c r="R310" s="78">
        <f>P310+Q310</f>
        <v>0</v>
      </c>
      <c r="S310" s="109"/>
      <c r="T310" s="78">
        <f>R310+S310</f>
        <v>0</v>
      </c>
    </row>
    <row r="311" spans="1:20" s="8" customFormat="1" ht="31.5" customHeight="1">
      <c r="A311" s="24" t="s">
        <v>590</v>
      </c>
      <c r="B311" s="83" t="s">
        <v>368</v>
      </c>
      <c r="C311" s="83" t="s">
        <v>448</v>
      </c>
      <c r="D311" s="83" t="s">
        <v>577</v>
      </c>
      <c r="E311" s="83"/>
      <c r="F311" s="79"/>
      <c r="G311" s="83"/>
      <c r="H311" s="79">
        <f>H312+H316</f>
        <v>3025389</v>
      </c>
      <c r="I311" s="81"/>
      <c r="J311" s="79">
        <f>J312+J316</f>
        <v>4947138</v>
      </c>
      <c r="K311" s="81"/>
      <c r="L311" s="79">
        <f>L312+L316</f>
        <v>4947138</v>
      </c>
      <c r="M311" s="81"/>
      <c r="N311" s="79">
        <f>N312+N316</f>
        <v>4947138</v>
      </c>
      <c r="O311" s="81"/>
      <c r="P311" s="79">
        <f>P312+P316</f>
        <v>4947138</v>
      </c>
      <c r="Q311" s="109"/>
      <c r="R311" s="79">
        <f>R312+R316</f>
        <v>4947138</v>
      </c>
      <c r="S311" s="109"/>
      <c r="T311" s="79">
        <f>T312+T316</f>
        <v>4947138</v>
      </c>
    </row>
    <row r="312" spans="1:20" s="8" customFormat="1" ht="21" customHeight="1">
      <c r="A312" s="24" t="s">
        <v>592</v>
      </c>
      <c r="B312" s="83" t="s">
        <v>368</v>
      </c>
      <c r="C312" s="83" t="s">
        <v>448</v>
      </c>
      <c r="D312" s="83" t="s">
        <v>591</v>
      </c>
      <c r="E312" s="83"/>
      <c r="F312" s="79"/>
      <c r="G312" s="83"/>
      <c r="H312" s="79">
        <f>H313+H314+H315</f>
        <v>346461</v>
      </c>
      <c r="I312" s="81"/>
      <c r="J312" s="79">
        <f>J313+J314+J315</f>
        <v>308961</v>
      </c>
      <c r="K312" s="81"/>
      <c r="L312" s="79">
        <f>L313+L314+L315</f>
        <v>308961</v>
      </c>
      <c r="M312" s="81"/>
      <c r="N312" s="79">
        <f>N313+N314+N315</f>
        <v>308961</v>
      </c>
      <c r="O312" s="81"/>
      <c r="P312" s="79">
        <f>P313+P314+P315</f>
        <v>308961</v>
      </c>
      <c r="Q312" s="109"/>
      <c r="R312" s="79">
        <f>R313+R314+R315</f>
        <v>308961</v>
      </c>
      <c r="S312" s="109"/>
      <c r="T312" s="79">
        <f>T313+T314+T315</f>
        <v>308961</v>
      </c>
    </row>
    <row r="313" spans="1:20" s="8" customFormat="1" ht="34.5" customHeight="1">
      <c r="A313" s="12" t="s">
        <v>466</v>
      </c>
      <c r="B313" s="83" t="s">
        <v>368</v>
      </c>
      <c r="C313" s="83" t="s">
        <v>448</v>
      </c>
      <c r="D313" s="83" t="s">
        <v>591</v>
      </c>
      <c r="E313" s="83" t="s">
        <v>461</v>
      </c>
      <c r="F313" s="79"/>
      <c r="G313" s="83"/>
      <c r="H313" s="79">
        <v>600</v>
      </c>
      <c r="I313" s="81"/>
      <c r="J313" s="78">
        <f aca="true" t="shared" si="8" ref="J313:N320">H313+I313</f>
        <v>600</v>
      </c>
      <c r="K313" s="81"/>
      <c r="L313" s="78">
        <f t="shared" si="8"/>
        <v>600</v>
      </c>
      <c r="M313" s="81"/>
      <c r="N313" s="78">
        <f t="shared" si="8"/>
        <v>600</v>
      </c>
      <c r="O313" s="81"/>
      <c r="P313" s="78">
        <f>N313+O313</f>
        <v>600</v>
      </c>
      <c r="Q313" s="109"/>
      <c r="R313" s="78">
        <f>P313+Q313</f>
        <v>600</v>
      </c>
      <c r="S313" s="109"/>
      <c r="T313" s="78">
        <f>R313+S313</f>
        <v>600</v>
      </c>
    </row>
    <row r="314" spans="1:20" s="8" customFormat="1" ht="49.5" customHeight="1">
      <c r="A314" s="27" t="s">
        <v>467</v>
      </c>
      <c r="B314" s="83" t="s">
        <v>368</v>
      </c>
      <c r="C314" s="83" t="s">
        <v>448</v>
      </c>
      <c r="D314" s="83" t="s">
        <v>591</v>
      </c>
      <c r="E314" s="83" t="s">
        <v>462</v>
      </c>
      <c r="F314" s="79"/>
      <c r="G314" s="83"/>
      <c r="H314" s="79">
        <v>94796</v>
      </c>
      <c r="I314" s="81"/>
      <c r="J314" s="78">
        <f t="shared" si="8"/>
        <v>94796</v>
      </c>
      <c r="K314" s="81"/>
      <c r="L314" s="78">
        <f t="shared" si="8"/>
        <v>94796</v>
      </c>
      <c r="M314" s="81"/>
      <c r="N314" s="78">
        <f t="shared" si="8"/>
        <v>94796</v>
      </c>
      <c r="O314" s="81"/>
      <c r="P314" s="78">
        <f>N314+O314</f>
        <v>94796</v>
      </c>
      <c r="Q314" s="109"/>
      <c r="R314" s="78">
        <f>P314+Q314</f>
        <v>94796</v>
      </c>
      <c r="S314" s="109"/>
      <c r="T314" s="78">
        <f>R314+S314</f>
        <v>94796</v>
      </c>
    </row>
    <row r="315" spans="1:20" s="8" customFormat="1" ht="36.75" customHeight="1">
      <c r="A315" s="27" t="s">
        <v>491</v>
      </c>
      <c r="B315" s="83" t="s">
        <v>368</v>
      </c>
      <c r="C315" s="83" t="s">
        <v>448</v>
      </c>
      <c r="D315" s="83" t="s">
        <v>591</v>
      </c>
      <c r="E315" s="83" t="s">
        <v>463</v>
      </c>
      <c r="F315" s="79"/>
      <c r="G315" s="83"/>
      <c r="H315" s="79">
        <v>251065</v>
      </c>
      <c r="I315" s="92">
        <v>-37500</v>
      </c>
      <c r="J315" s="78">
        <f t="shared" si="8"/>
        <v>213565</v>
      </c>
      <c r="K315" s="81"/>
      <c r="L315" s="78">
        <f t="shared" si="8"/>
        <v>213565</v>
      </c>
      <c r="M315" s="81"/>
      <c r="N315" s="78">
        <f t="shared" si="8"/>
        <v>213565</v>
      </c>
      <c r="O315" s="81"/>
      <c r="P315" s="78">
        <f>N315+O315</f>
        <v>213565</v>
      </c>
      <c r="Q315" s="109"/>
      <c r="R315" s="78">
        <f>P315+Q315</f>
        <v>213565</v>
      </c>
      <c r="S315" s="109"/>
      <c r="T315" s="78">
        <f>R315+S315</f>
        <v>213565</v>
      </c>
    </row>
    <row r="316" spans="1:20" s="8" customFormat="1" ht="21" customHeight="1">
      <c r="A316" s="24" t="s">
        <v>596</v>
      </c>
      <c r="B316" s="83" t="s">
        <v>368</v>
      </c>
      <c r="C316" s="83" t="s">
        <v>448</v>
      </c>
      <c r="D316" s="83" t="s">
        <v>597</v>
      </c>
      <c r="E316" s="83"/>
      <c r="F316" s="79"/>
      <c r="G316" s="83"/>
      <c r="H316" s="79">
        <f>H317+H318+H319+H320</f>
        <v>2678928</v>
      </c>
      <c r="I316" s="81"/>
      <c r="J316" s="79">
        <f>J317+J318+J319+J320</f>
        <v>4638177</v>
      </c>
      <c r="K316" s="81"/>
      <c r="L316" s="79">
        <f>L317+L318+L319+L320</f>
        <v>4638177</v>
      </c>
      <c r="M316" s="81"/>
      <c r="N316" s="79">
        <f>N317+N318+N319+N320</f>
        <v>4638177</v>
      </c>
      <c r="O316" s="81"/>
      <c r="P316" s="79">
        <f>P317+P318+P319+P320</f>
        <v>4638177</v>
      </c>
      <c r="Q316" s="109"/>
      <c r="R316" s="79">
        <f>R317+R318+R319+R320</f>
        <v>4638177</v>
      </c>
      <c r="S316" s="109"/>
      <c r="T316" s="79">
        <f>T317+T318+T319+T320</f>
        <v>4638177</v>
      </c>
    </row>
    <row r="317" spans="1:20" s="8" customFormat="1" ht="23.25" customHeight="1">
      <c r="A317" s="12" t="s">
        <v>465</v>
      </c>
      <c r="B317" s="83" t="s">
        <v>368</v>
      </c>
      <c r="C317" s="83" t="s">
        <v>448</v>
      </c>
      <c r="D317" s="83" t="s">
        <v>597</v>
      </c>
      <c r="E317" s="83" t="s">
        <v>460</v>
      </c>
      <c r="F317" s="79"/>
      <c r="G317" s="83"/>
      <c r="H317" s="79">
        <v>217695</v>
      </c>
      <c r="I317" s="92">
        <v>1959249</v>
      </c>
      <c r="J317" s="78">
        <f t="shared" si="8"/>
        <v>2176944</v>
      </c>
      <c r="K317" s="81"/>
      <c r="L317" s="78">
        <f t="shared" si="8"/>
        <v>2176944</v>
      </c>
      <c r="M317" s="81"/>
      <c r="N317" s="78">
        <f t="shared" si="8"/>
        <v>2176944</v>
      </c>
      <c r="O317" s="81"/>
      <c r="P317" s="78">
        <f>N317+O317</f>
        <v>2176944</v>
      </c>
      <c r="Q317" s="109"/>
      <c r="R317" s="78">
        <f>P317+Q317</f>
        <v>2176944</v>
      </c>
      <c r="S317" s="109"/>
      <c r="T317" s="78">
        <f>R317+S317</f>
        <v>2176944</v>
      </c>
    </row>
    <row r="318" spans="1:20" s="8" customFormat="1" ht="33" customHeight="1">
      <c r="A318" s="12" t="s">
        <v>466</v>
      </c>
      <c r="B318" s="83" t="s">
        <v>368</v>
      </c>
      <c r="C318" s="83" t="s">
        <v>448</v>
      </c>
      <c r="D318" s="83" t="s">
        <v>597</v>
      </c>
      <c r="E318" s="83" t="s">
        <v>461</v>
      </c>
      <c r="F318" s="79"/>
      <c r="G318" s="83"/>
      <c r="H318" s="79">
        <v>2000</v>
      </c>
      <c r="I318" s="81"/>
      <c r="J318" s="78">
        <f t="shared" si="8"/>
        <v>2000</v>
      </c>
      <c r="K318" s="81"/>
      <c r="L318" s="78">
        <f t="shared" si="8"/>
        <v>2000</v>
      </c>
      <c r="M318" s="81"/>
      <c r="N318" s="78">
        <f t="shared" si="8"/>
        <v>2000</v>
      </c>
      <c r="O318" s="81"/>
      <c r="P318" s="78">
        <f>N318+O318</f>
        <v>2000</v>
      </c>
      <c r="Q318" s="109"/>
      <c r="R318" s="78">
        <f>P318+Q318</f>
        <v>2000</v>
      </c>
      <c r="S318" s="109"/>
      <c r="T318" s="78">
        <f>R318+S318</f>
        <v>2000</v>
      </c>
    </row>
    <row r="319" spans="1:20" s="8" customFormat="1" ht="50.25" customHeight="1">
      <c r="A319" s="27" t="s">
        <v>467</v>
      </c>
      <c r="B319" s="83" t="s">
        <v>368</v>
      </c>
      <c r="C319" s="83" t="s">
        <v>448</v>
      </c>
      <c r="D319" s="83" t="s">
        <v>597</v>
      </c>
      <c r="E319" s="83" t="s">
        <v>462</v>
      </c>
      <c r="F319" s="79"/>
      <c r="G319" s="83"/>
      <c r="H319" s="79">
        <v>438443</v>
      </c>
      <c r="I319" s="81"/>
      <c r="J319" s="78">
        <f t="shared" si="8"/>
        <v>438443</v>
      </c>
      <c r="K319" s="81"/>
      <c r="L319" s="78">
        <f t="shared" si="8"/>
        <v>438443</v>
      </c>
      <c r="M319" s="81"/>
      <c r="N319" s="78">
        <f t="shared" si="8"/>
        <v>438443</v>
      </c>
      <c r="O319" s="81"/>
      <c r="P319" s="78">
        <f>N319+O319</f>
        <v>438443</v>
      </c>
      <c r="Q319" s="109"/>
      <c r="R319" s="78">
        <f>P319+Q319</f>
        <v>438443</v>
      </c>
      <c r="S319" s="109">
        <f>81535</f>
        <v>81535</v>
      </c>
      <c r="T319" s="78">
        <f>R319+S319</f>
        <v>519978</v>
      </c>
    </row>
    <row r="320" spans="1:20" s="8" customFormat="1" ht="36.75" customHeight="1">
      <c r="A320" s="27" t="s">
        <v>491</v>
      </c>
      <c r="B320" s="83" t="s">
        <v>368</v>
      </c>
      <c r="C320" s="83" t="s">
        <v>448</v>
      </c>
      <c r="D320" s="83" t="s">
        <v>597</v>
      </c>
      <c r="E320" s="83" t="s">
        <v>463</v>
      </c>
      <c r="F320" s="79"/>
      <c r="G320" s="83"/>
      <c r="H320" s="79">
        <v>2020790</v>
      </c>
      <c r="I320" s="81"/>
      <c r="J320" s="78">
        <f t="shared" si="8"/>
        <v>2020790</v>
      </c>
      <c r="K320" s="81"/>
      <c r="L320" s="78">
        <f t="shared" si="8"/>
        <v>2020790</v>
      </c>
      <c r="M320" s="81"/>
      <c r="N320" s="78">
        <f t="shared" si="8"/>
        <v>2020790</v>
      </c>
      <c r="O320" s="81"/>
      <c r="P320" s="78">
        <f>N320+O320</f>
        <v>2020790</v>
      </c>
      <c r="Q320" s="109"/>
      <c r="R320" s="78">
        <f>P320+Q320</f>
        <v>2020790</v>
      </c>
      <c r="S320" s="109">
        <f>40000-121535</f>
        <v>-81535</v>
      </c>
      <c r="T320" s="78">
        <f>R320+S320</f>
        <v>1939255</v>
      </c>
    </row>
    <row r="321" spans="1:20" ht="30" customHeight="1" hidden="1">
      <c r="A321" s="28" t="s">
        <v>447</v>
      </c>
      <c r="B321" s="83" t="s">
        <v>368</v>
      </c>
      <c r="C321" s="83" t="s">
        <v>448</v>
      </c>
      <c r="D321" s="83"/>
      <c r="E321" s="83"/>
      <c r="F321" s="79">
        <f>F322+F327</f>
        <v>0</v>
      </c>
      <c r="G321" s="83"/>
      <c r="H321" s="79">
        <f>H322+H327</f>
        <v>0</v>
      </c>
      <c r="I321" s="77"/>
      <c r="J321" s="77"/>
      <c r="K321" s="77"/>
      <c r="L321" s="77"/>
      <c r="M321" s="77"/>
      <c r="N321" s="77"/>
      <c r="O321" s="77"/>
      <c r="P321" s="77"/>
      <c r="Q321" s="50"/>
      <c r="R321" s="77"/>
      <c r="S321" s="50"/>
      <c r="T321" s="77"/>
    </row>
    <row r="322" spans="1:20" ht="49.5" customHeight="1" hidden="1">
      <c r="A322" s="12" t="s">
        <v>453</v>
      </c>
      <c r="B322" s="83" t="s">
        <v>368</v>
      </c>
      <c r="C322" s="83" t="s">
        <v>448</v>
      </c>
      <c r="D322" s="83" t="s">
        <v>489</v>
      </c>
      <c r="E322" s="83"/>
      <c r="F322" s="79">
        <f>F323+F324+F325+F326</f>
        <v>0</v>
      </c>
      <c r="G322" s="83"/>
      <c r="H322" s="79">
        <f>H323+H324+H325+H326</f>
        <v>0</v>
      </c>
      <c r="I322" s="77"/>
      <c r="J322" s="77"/>
      <c r="K322" s="77"/>
      <c r="L322" s="77"/>
      <c r="M322" s="77"/>
      <c r="N322" s="77"/>
      <c r="O322" s="77"/>
      <c r="P322" s="77"/>
      <c r="Q322" s="50"/>
      <c r="R322" s="77"/>
      <c r="S322" s="50"/>
      <c r="T322" s="77"/>
    </row>
    <row r="323" spans="1:20" ht="42.75" customHeight="1" hidden="1">
      <c r="A323" s="12" t="s">
        <v>466</v>
      </c>
      <c r="B323" s="83" t="s">
        <v>368</v>
      </c>
      <c r="C323" s="83" t="s">
        <v>448</v>
      </c>
      <c r="D323" s="83" t="s">
        <v>489</v>
      </c>
      <c r="E323" s="83" t="s">
        <v>461</v>
      </c>
      <c r="F323" s="79">
        <v>0</v>
      </c>
      <c r="G323" s="83"/>
      <c r="H323" s="79">
        <f>F323+G323</f>
        <v>0</v>
      </c>
      <c r="I323" s="77"/>
      <c r="J323" s="77"/>
      <c r="K323" s="77"/>
      <c r="L323" s="77"/>
      <c r="M323" s="77"/>
      <c r="N323" s="77"/>
      <c r="O323" s="77"/>
      <c r="P323" s="77"/>
      <c r="Q323" s="50"/>
      <c r="R323" s="77"/>
      <c r="S323" s="50"/>
      <c r="T323" s="77"/>
    </row>
    <row r="324" spans="1:20" ht="53.25" customHeight="1" hidden="1">
      <c r="A324" s="12" t="s">
        <v>467</v>
      </c>
      <c r="B324" s="83" t="s">
        <v>368</v>
      </c>
      <c r="C324" s="83" t="s">
        <v>448</v>
      </c>
      <c r="D324" s="83" t="s">
        <v>489</v>
      </c>
      <c r="E324" s="83" t="s">
        <v>462</v>
      </c>
      <c r="F324" s="79">
        <v>0</v>
      </c>
      <c r="G324" s="83" t="s">
        <v>495</v>
      </c>
      <c r="H324" s="79">
        <f>F324+G324</f>
        <v>0</v>
      </c>
      <c r="I324" s="77"/>
      <c r="J324" s="77"/>
      <c r="K324" s="77"/>
      <c r="L324" s="77"/>
      <c r="M324" s="77"/>
      <c r="N324" s="77"/>
      <c r="O324" s="77"/>
      <c r="P324" s="77"/>
      <c r="Q324" s="50"/>
      <c r="R324" s="77"/>
      <c r="S324" s="50"/>
      <c r="T324" s="77"/>
    </row>
    <row r="325" spans="1:20" ht="41.25" customHeight="1" hidden="1">
      <c r="A325" s="12" t="s">
        <v>468</v>
      </c>
      <c r="B325" s="83" t="s">
        <v>368</v>
      </c>
      <c r="C325" s="83" t="s">
        <v>448</v>
      </c>
      <c r="D325" s="83" t="s">
        <v>489</v>
      </c>
      <c r="E325" s="83" t="s">
        <v>463</v>
      </c>
      <c r="F325" s="79">
        <v>0</v>
      </c>
      <c r="G325" s="83" t="s">
        <v>495</v>
      </c>
      <c r="H325" s="79">
        <f>F325+G325</f>
        <v>0</v>
      </c>
      <c r="I325" s="77"/>
      <c r="J325" s="77"/>
      <c r="K325" s="77"/>
      <c r="L325" s="77"/>
      <c r="M325" s="77"/>
      <c r="N325" s="77"/>
      <c r="O325" s="77"/>
      <c r="P325" s="77"/>
      <c r="Q325" s="50"/>
      <c r="R325" s="77"/>
      <c r="S325" s="50"/>
      <c r="T325" s="77"/>
    </row>
    <row r="326" spans="1:20" ht="41.25" customHeight="1" hidden="1">
      <c r="A326" s="20" t="s">
        <v>485</v>
      </c>
      <c r="B326" s="83" t="s">
        <v>368</v>
      </c>
      <c r="C326" s="83" t="s">
        <v>448</v>
      </c>
      <c r="D326" s="83" t="s">
        <v>489</v>
      </c>
      <c r="E326" s="83" t="s">
        <v>484</v>
      </c>
      <c r="F326" s="79">
        <v>0</v>
      </c>
      <c r="G326" s="83"/>
      <c r="H326" s="79">
        <f>F326+G326</f>
        <v>0</v>
      </c>
      <c r="I326" s="77"/>
      <c r="J326" s="77"/>
      <c r="K326" s="77"/>
      <c r="L326" s="77"/>
      <c r="M326" s="77"/>
      <c r="N326" s="77"/>
      <c r="O326" s="77"/>
      <c r="P326" s="77"/>
      <c r="Q326" s="50"/>
      <c r="R326" s="77"/>
      <c r="S326" s="50"/>
      <c r="T326" s="77"/>
    </row>
    <row r="327" spans="1:20" ht="54.75" customHeight="1" hidden="1">
      <c r="A327" s="32" t="s">
        <v>428</v>
      </c>
      <c r="B327" s="83" t="s">
        <v>368</v>
      </c>
      <c r="C327" s="83" t="s">
        <v>448</v>
      </c>
      <c r="D327" s="83" t="s">
        <v>490</v>
      </c>
      <c r="E327" s="83"/>
      <c r="F327" s="79">
        <f>F328+F329+F330+F331</f>
        <v>0</v>
      </c>
      <c r="G327" s="83"/>
      <c r="H327" s="79">
        <f>H328+H329+H330+H331</f>
        <v>0</v>
      </c>
      <c r="I327" s="77"/>
      <c r="J327" s="77"/>
      <c r="K327" s="77"/>
      <c r="L327" s="77"/>
      <c r="M327" s="77"/>
      <c r="N327" s="77"/>
      <c r="O327" s="77"/>
      <c r="P327" s="77"/>
      <c r="Q327" s="50"/>
      <c r="R327" s="77"/>
      <c r="S327" s="50"/>
      <c r="T327" s="77"/>
    </row>
    <row r="328" spans="1:20" ht="25.5" customHeight="1" hidden="1">
      <c r="A328" s="12" t="s">
        <v>465</v>
      </c>
      <c r="B328" s="83" t="s">
        <v>368</v>
      </c>
      <c r="C328" s="83" t="s">
        <v>448</v>
      </c>
      <c r="D328" s="83" t="s">
        <v>490</v>
      </c>
      <c r="E328" s="83" t="s">
        <v>460</v>
      </c>
      <c r="F328" s="79">
        <v>0</v>
      </c>
      <c r="G328" s="83"/>
      <c r="H328" s="79">
        <f>F328+G328</f>
        <v>0</v>
      </c>
      <c r="I328" s="77"/>
      <c r="J328" s="77"/>
      <c r="K328" s="77"/>
      <c r="L328" s="77"/>
      <c r="M328" s="77"/>
      <c r="N328" s="77"/>
      <c r="O328" s="77"/>
      <c r="P328" s="77"/>
      <c r="Q328" s="50"/>
      <c r="R328" s="77"/>
      <c r="S328" s="50"/>
      <c r="T328" s="77"/>
    </row>
    <row r="329" spans="1:20" ht="41.25" customHeight="1" hidden="1">
      <c r="A329" s="12" t="s">
        <v>466</v>
      </c>
      <c r="B329" s="83" t="s">
        <v>368</v>
      </c>
      <c r="C329" s="83" t="s">
        <v>448</v>
      </c>
      <c r="D329" s="83" t="s">
        <v>490</v>
      </c>
      <c r="E329" s="83" t="s">
        <v>461</v>
      </c>
      <c r="F329" s="79">
        <v>0</v>
      </c>
      <c r="G329" s="83"/>
      <c r="H329" s="79">
        <f>F329+G329</f>
        <v>0</v>
      </c>
      <c r="I329" s="77"/>
      <c r="J329" s="77"/>
      <c r="K329" s="77"/>
      <c r="L329" s="77"/>
      <c r="M329" s="77"/>
      <c r="N329" s="77"/>
      <c r="O329" s="77"/>
      <c r="P329" s="77"/>
      <c r="Q329" s="50"/>
      <c r="R329" s="77"/>
      <c r="S329" s="50"/>
      <c r="T329" s="77"/>
    </row>
    <row r="330" spans="1:20" ht="51" customHeight="1" hidden="1">
      <c r="A330" s="12" t="s">
        <v>467</v>
      </c>
      <c r="B330" s="83" t="s">
        <v>368</v>
      </c>
      <c r="C330" s="83" t="s">
        <v>448</v>
      </c>
      <c r="D330" s="83" t="s">
        <v>490</v>
      </c>
      <c r="E330" s="83" t="s">
        <v>462</v>
      </c>
      <c r="F330" s="79">
        <v>0</v>
      </c>
      <c r="G330" s="83" t="s">
        <v>495</v>
      </c>
      <c r="H330" s="79">
        <f>F330+G330</f>
        <v>0</v>
      </c>
      <c r="I330" s="77"/>
      <c r="J330" s="77"/>
      <c r="K330" s="77"/>
      <c r="L330" s="77"/>
      <c r="M330" s="77"/>
      <c r="N330" s="77"/>
      <c r="O330" s="77"/>
      <c r="P330" s="77"/>
      <c r="Q330" s="50"/>
      <c r="R330" s="77"/>
      <c r="S330" s="50"/>
      <c r="T330" s="77"/>
    </row>
    <row r="331" spans="1:20" ht="41.25" customHeight="1" hidden="1">
      <c r="A331" s="17" t="s">
        <v>491</v>
      </c>
      <c r="B331" s="83" t="s">
        <v>368</v>
      </c>
      <c r="C331" s="83" t="s">
        <v>448</v>
      </c>
      <c r="D331" s="83" t="s">
        <v>490</v>
      </c>
      <c r="E331" s="83" t="s">
        <v>463</v>
      </c>
      <c r="F331" s="79">
        <v>0</v>
      </c>
      <c r="G331" s="83" t="s">
        <v>495</v>
      </c>
      <c r="H331" s="79">
        <f>F331+G331</f>
        <v>0</v>
      </c>
      <c r="I331" s="77"/>
      <c r="J331" s="77"/>
      <c r="K331" s="77"/>
      <c r="L331" s="77"/>
      <c r="M331" s="77"/>
      <c r="N331" s="77"/>
      <c r="O331" s="77"/>
      <c r="P331" s="77"/>
      <c r="Q331" s="50"/>
      <c r="R331" s="77"/>
      <c r="S331" s="50"/>
      <c r="T331" s="77"/>
    </row>
    <row r="332" spans="1:20" ht="15.75">
      <c r="A332" s="12" t="s">
        <v>396</v>
      </c>
      <c r="B332" s="83" t="s">
        <v>368</v>
      </c>
      <c r="C332" s="83" t="s">
        <v>432</v>
      </c>
      <c r="D332" s="83"/>
      <c r="E332" s="83"/>
      <c r="F332" s="79" t="e">
        <f>F333</f>
        <v>#REF!</v>
      </c>
      <c r="G332" s="83"/>
      <c r="H332" s="79">
        <f>H333</f>
        <v>1465000</v>
      </c>
      <c r="I332" s="77"/>
      <c r="J332" s="79">
        <f>J333</f>
        <v>1343437.62</v>
      </c>
      <c r="K332" s="77"/>
      <c r="L332" s="79">
        <f>L333</f>
        <v>1343437.62</v>
      </c>
      <c r="M332" s="77"/>
      <c r="N332" s="79">
        <f>N333</f>
        <v>1343437.62</v>
      </c>
      <c r="O332" s="77"/>
      <c r="P332" s="79">
        <f>P333</f>
        <v>1221952.4200000002</v>
      </c>
      <c r="Q332" s="108"/>
      <c r="R332" s="79">
        <f>R333</f>
        <v>1221952.4200000002</v>
      </c>
      <c r="S332" s="50"/>
      <c r="T332" s="79">
        <f>T333</f>
        <v>1209191.59</v>
      </c>
    </row>
    <row r="333" spans="1:20" ht="15.75">
      <c r="A333" s="12" t="s">
        <v>445</v>
      </c>
      <c r="B333" s="73" t="s">
        <v>368</v>
      </c>
      <c r="C333" s="73" t="s">
        <v>444</v>
      </c>
      <c r="D333" s="73"/>
      <c r="E333" s="73"/>
      <c r="F333" s="57" t="e">
        <f>F334+#REF!</f>
        <v>#REF!</v>
      </c>
      <c r="G333" s="73"/>
      <c r="H333" s="57">
        <f>H334</f>
        <v>1465000</v>
      </c>
      <c r="I333" s="77"/>
      <c r="J333" s="57">
        <f>J334</f>
        <v>1343437.62</v>
      </c>
      <c r="K333" s="77"/>
      <c r="L333" s="57">
        <f>L334</f>
        <v>1343437.62</v>
      </c>
      <c r="M333" s="77"/>
      <c r="N333" s="57">
        <f>N334</f>
        <v>1343437.62</v>
      </c>
      <c r="O333" s="77"/>
      <c r="P333" s="57">
        <f>P334</f>
        <v>1221952.4200000002</v>
      </c>
      <c r="Q333" s="50"/>
      <c r="R333" s="57">
        <f>R334</f>
        <v>1221952.4200000002</v>
      </c>
      <c r="S333" s="50"/>
      <c r="T333" s="57">
        <f>T334</f>
        <v>1209191.59</v>
      </c>
    </row>
    <row r="334" spans="1:20" ht="63.75" customHeight="1">
      <c r="A334" s="29" t="s">
        <v>147</v>
      </c>
      <c r="B334" s="83" t="s">
        <v>368</v>
      </c>
      <c r="C334" s="83" t="s">
        <v>444</v>
      </c>
      <c r="D334" s="83" t="s">
        <v>154</v>
      </c>
      <c r="E334" s="83"/>
      <c r="F334" s="79" t="e">
        <f>F336</f>
        <v>#REF!</v>
      </c>
      <c r="G334" s="83"/>
      <c r="H334" s="79">
        <f>H335</f>
        <v>1465000</v>
      </c>
      <c r="I334" s="77"/>
      <c r="J334" s="79">
        <f>J335</f>
        <v>1343437.62</v>
      </c>
      <c r="K334" s="77"/>
      <c r="L334" s="79">
        <f>L335</f>
        <v>1343437.62</v>
      </c>
      <c r="M334" s="77"/>
      <c r="N334" s="79">
        <f>N335</f>
        <v>1343437.62</v>
      </c>
      <c r="O334" s="77"/>
      <c r="P334" s="79">
        <f>P335</f>
        <v>1221952.4200000002</v>
      </c>
      <c r="Q334" s="50"/>
      <c r="R334" s="79">
        <f>R335</f>
        <v>1221952.4200000002</v>
      </c>
      <c r="S334" s="50"/>
      <c r="T334" s="79">
        <f>T335</f>
        <v>1209191.59</v>
      </c>
    </row>
    <row r="335" spans="1:20" ht="69.75" customHeight="1">
      <c r="A335" s="14" t="s">
        <v>171</v>
      </c>
      <c r="B335" s="83" t="s">
        <v>368</v>
      </c>
      <c r="C335" s="83" t="s">
        <v>444</v>
      </c>
      <c r="D335" s="83" t="s">
        <v>229</v>
      </c>
      <c r="E335" s="83"/>
      <c r="F335" s="79"/>
      <c r="G335" s="83"/>
      <c r="H335" s="79">
        <f>H336</f>
        <v>1465000</v>
      </c>
      <c r="I335" s="77"/>
      <c r="J335" s="79">
        <f>J336</f>
        <v>1343437.62</v>
      </c>
      <c r="K335" s="77"/>
      <c r="L335" s="79">
        <f>L336</f>
        <v>1343437.62</v>
      </c>
      <c r="M335" s="77"/>
      <c r="N335" s="79">
        <f>N336</f>
        <v>1343437.62</v>
      </c>
      <c r="O335" s="77"/>
      <c r="P335" s="79">
        <f>P336</f>
        <v>1221952.4200000002</v>
      </c>
      <c r="Q335" s="50"/>
      <c r="R335" s="79">
        <f>R336</f>
        <v>1221952.4200000002</v>
      </c>
      <c r="S335" s="50"/>
      <c r="T335" s="79">
        <f>T336</f>
        <v>1209191.59</v>
      </c>
    </row>
    <row r="336" spans="1:20" ht="30" customHeight="1">
      <c r="A336" s="44" t="s">
        <v>230</v>
      </c>
      <c r="B336" s="83" t="s">
        <v>368</v>
      </c>
      <c r="C336" s="83" t="s">
        <v>444</v>
      </c>
      <c r="D336" s="73" t="s">
        <v>172</v>
      </c>
      <c r="E336" s="83"/>
      <c r="F336" s="79" t="e">
        <f>+#REF!</f>
        <v>#REF!</v>
      </c>
      <c r="G336" s="83"/>
      <c r="H336" s="79">
        <f>H339+H340</f>
        <v>1465000</v>
      </c>
      <c r="I336" s="77"/>
      <c r="J336" s="79">
        <f>J339+J340</f>
        <v>1343437.62</v>
      </c>
      <c r="K336" s="77"/>
      <c r="L336" s="79">
        <f>L339+L340</f>
        <v>1343437.62</v>
      </c>
      <c r="M336" s="77"/>
      <c r="N336" s="79">
        <f>N339+N340</f>
        <v>1343437.62</v>
      </c>
      <c r="O336" s="77"/>
      <c r="P336" s="79">
        <f>P339+P340</f>
        <v>1221952.4200000002</v>
      </c>
      <c r="Q336" s="50"/>
      <c r="R336" s="79">
        <f>R339+R340</f>
        <v>1221952.4200000002</v>
      </c>
      <c r="S336" s="50"/>
      <c r="T336" s="79">
        <f>T339+T340</f>
        <v>1209191.59</v>
      </c>
    </row>
    <row r="337" spans="1:20" ht="66.75" customHeight="1" hidden="1">
      <c r="A337" s="23" t="s">
        <v>468</v>
      </c>
      <c r="B337" s="83" t="s">
        <v>368</v>
      </c>
      <c r="C337" s="83" t="s">
        <v>444</v>
      </c>
      <c r="D337" s="83"/>
      <c r="E337" s="83"/>
      <c r="F337" s="79"/>
      <c r="G337" s="83"/>
      <c r="H337" s="79">
        <f>H338</f>
        <v>0</v>
      </c>
      <c r="I337" s="77"/>
      <c r="J337" s="77"/>
      <c r="K337" s="77"/>
      <c r="L337" s="77"/>
      <c r="M337" s="77"/>
      <c r="N337" s="77"/>
      <c r="O337" s="77"/>
      <c r="P337" s="77"/>
      <c r="Q337" s="50"/>
      <c r="R337" s="77"/>
      <c r="S337" s="50"/>
      <c r="T337" s="77"/>
    </row>
    <row r="338" spans="1:20" ht="44.25" customHeight="1" hidden="1">
      <c r="A338" s="14" t="s">
        <v>491</v>
      </c>
      <c r="B338" s="83" t="s">
        <v>368</v>
      </c>
      <c r="C338" s="83" t="s">
        <v>444</v>
      </c>
      <c r="D338" s="83" t="s">
        <v>501</v>
      </c>
      <c r="E338" s="83" t="s">
        <v>471</v>
      </c>
      <c r="F338" s="79"/>
      <c r="G338" s="83" t="s">
        <v>495</v>
      </c>
      <c r="H338" s="79">
        <f>F338+G338</f>
        <v>0</v>
      </c>
      <c r="I338" s="77"/>
      <c r="J338" s="77"/>
      <c r="K338" s="77"/>
      <c r="L338" s="77"/>
      <c r="M338" s="77"/>
      <c r="N338" s="77"/>
      <c r="O338" s="77"/>
      <c r="P338" s="77"/>
      <c r="Q338" s="50"/>
      <c r="R338" s="77"/>
      <c r="S338" s="50"/>
      <c r="T338" s="77"/>
    </row>
    <row r="339" spans="1:20" ht="39" customHeight="1">
      <c r="A339" s="14" t="s">
        <v>491</v>
      </c>
      <c r="B339" s="83" t="s">
        <v>368</v>
      </c>
      <c r="C339" s="83" t="s">
        <v>444</v>
      </c>
      <c r="D339" s="83" t="s">
        <v>173</v>
      </c>
      <c r="E339" s="83" t="s">
        <v>463</v>
      </c>
      <c r="F339" s="79">
        <f>F340</f>
        <v>0</v>
      </c>
      <c r="G339" s="83" t="s">
        <v>495</v>
      </c>
      <c r="H339" s="79">
        <v>38674</v>
      </c>
      <c r="I339" s="77"/>
      <c r="J339" s="78">
        <f>H339+I339</f>
        <v>38674</v>
      </c>
      <c r="K339" s="77"/>
      <c r="L339" s="78">
        <f>J339+K339</f>
        <v>38674</v>
      </c>
      <c r="M339" s="77"/>
      <c r="N339" s="78">
        <f>L339+M339</f>
        <v>38674</v>
      </c>
      <c r="O339" s="77"/>
      <c r="P339" s="78">
        <f>N339+O339</f>
        <v>38674</v>
      </c>
      <c r="Q339" s="50"/>
      <c r="R339" s="78">
        <f>P339+Q339</f>
        <v>38674</v>
      </c>
      <c r="S339" s="50"/>
      <c r="T339" s="78">
        <f>R339+S339</f>
        <v>38674</v>
      </c>
    </row>
    <row r="340" spans="1:20" ht="21" customHeight="1">
      <c r="A340" s="14" t="s">
        <v>472</v>
      </c>
      <c r="B340" s="83" t="s">
        <v>368</v>
      </c>
      <c r="C340" s="83" t="s">
        <v>444</v>
      </c>
      <c r="D340" s="83" t="s">
        <v>173</v>
      </c>
      <c r="E340" s="83" t="s">
        <v>471</v>
      </c>
      <c r="F340" s="79">
        <v>0</v>
      </c>
      <c r="G340" s="83" t="s">
        <v>525</v>
      </c>
      <c r="H340" s="79">
        <v>1426326</v>
      </c>
      <c r="I340" s="75">
        <v>-121562.38</v>
      </c>
      <c r="J340" s="76">
        <f>H340+I340</f>
        <v>1304763.62</v>
      </c>
      <c r="K340" s="75"/>
      <c r="L340" s="76">
        <f>J340+K340</f>
        <v>1304763.62</v>
      </c>
      <c r="M340" s="75"/>
      <c r="N340" s="76">
        <f>L340+M340</f>
        <v>1304763.62</v>
      </c>
      <c r="O340" s="75">
        <v>-121485.2</v>
      </c>
      <c r="P340" s="76">
        <f>N340+O340</f>
        <v>1183278.4200000002</v>
      </c>
      <c r="Q340" s="50"/>
      <c r="R340" s="76">
        <f>P340+Q340</f>
        <v>1183278.4200000002</v>
      </c>
      <c r="S340" s="50">
        <v>-12760.83</v>
      </c>
      <c r="T340" s="76">
        <f>R340+S340</f>
        <v>1170517.59</v>
      </c>
    </row>
    <row r="341" spans="1:20" ht="51" customHeight="1">
      <c r="A341" s="33" t="s">
        <v>442</v>
      </c>
      <c r="B341" s="93" t="s">
        <v>425</v>
      </c>
      <c r="C341" s="83"/>
      <c r="D341" s="83"/>
      <c r="E341" s="83"/>
      <c r="F341" s="94" t="e">
        <f>F342+#REF!+#REF!</f>
        <v>#REF!</v>
      </c>
      <c r="G341" s="83"/>
      <c r="H341" s="94">
        <f>H342+H358</f>
        <v>2651400</v>
      </c>
      <c r="I341" s="75"/>
      <c r="J341" s="94">
        <f>J342+J358</f>
        <v>3151400</v>
      </c>
      <c r="K341" s="75"/>
      <c r="L341" s="94">
        <f>L342+L358</f>
        <v>3151400</v>
      </c>
      <c r="M341" s="75"/>
      <c r="N341" s="94">
        <f>N342+N358</f>
        <v>3151400</v>
      </c>
      <c r="O341" s="75"/>
      <c r="P341" s="94">
        <f>P342+P358</f>
        <v>3051400</v>
      </c>
      <c r="Q341" s="50"/>
      <c r="R341" s="94">
        <f>R342+R358</f>
        <v>3679600</v>
      </c>
      <c r="S341" s="50"/>
      <c r="T341" s="94">
        <f>T342+T358+T367</f>
        <v>5768127</v>
      </c>
    </row>
    <row r="342" spans="1:20" ht="81.75" customHeight="1">
      <c r="A342" s="23" t="s">
        <v>174</v>
      </c>
      <c r="B342" s="73" t="s">
        <v>425</v>
      </c>
      <c r="C342" s="73" t="s">
        <v>430</v>
      </c>
      <c r="D342" s="73" t="s">
        <v>178</v>
      </c>
      <c r="E342" s="83"/>
      <c r="F342" s="79"/>
      <c r="G342" s="83"/>
      <c r="H342" s="79">
        <f>H343+H345</f>
        <v>2401400</v>
      </c>
      <c r="I342" s="75"/>
      <c r="J342" s="79">
        <f>J343+J345</f>
        <v>2401400</v>
      </c>
      <c r="K342" s="75"/>
      <c r="L342" s="79">
        <f>L343+L345</f>
        <v>2401400</v>
      </c>
      <c r="M342" s="75"/>
      <c r="N342" s="79">
        <f>N343+N345</f>
        <v>2411400</v>
      </c>
      <c r="O342" s="75"/>
      <c r="P342" s="79">
        <f>P343+P345</f>
        <v>2497400</v>
      </c>
      <c r="Q342" s="50"/>
      <c r="R342" s="79">
        <f>R343+R345</f>
        <v>2497400</v>
      </c>
      <c r="S342" s="50"/>
      <c r="T342" s="79">
        <f>T343+T345</f>
        <v>2497400</v>
      </c>
    </row>
    <row r="343" spans="1:20" ht="64.5" customHeight="1">
      <c r="A343" s="34" t="s">
        <v>175</v>
      </c>
      <c r="B343" s="73" t="s">
        <v>425</v>
      </c>
      <c r="C343" s="73" t="s">
        <v>430</v>
      </c>
      <c r="D343" s="73" t="s">
        <v>177</v>
      </c>
      <c r="E343" s="73"/>
      <c r="F343" s="57"/>
      <c r="G343" s="84"/>
      <c r="H343" s="57">
        <f>H344</f>
        <v>50000</v>
      </c>
      <c r="I343" s="75"/>
      <c r="J343" s="57">
        <f>J344</f>
        <v>50000</v>
      </c>
      <c r="K343" s="75"/>
      <c r="L343" s="57">
        <f>L344</f>
        <v>50000</v>
      </c>
      <c r="M343" s="75"/>
      <c r="N343" s="57">
        <f>N344</f>
        <v>60000</v>
      </c>
      <c r="O343" s="75"/>
      <c r="P343" s="57">
        <f>P344</f>
        <v>80000</v>
      </c>
      <c r="Q343" s="50"/>
      <c r="R343" s="57">
        <f>R344</f>
        <v>80000</v>
      </c>
      <c r="S343" s="50"/>
      <c r="T343" s="57">
        <f>T344</f>
        <v>80000</v>
      </c>
    </row>
    <row r="344" spans="1:20" ht="36.75" customHeight="1">
      <c r="A344" s="14" t="s">
        <v>491</v>
      </c>
      <c r="B344" s="73" t="s">
        <v>425</v>
      </c>
      <c r="C344" s="73" t="s">
        <v>430</v>
      </c>
      <c r="D344" s="73" t="s">
        <v>217</v>
      </c>
      <c r="E344" s="73" t="s">
        <v>463</v>
      </c>
      <c r="F344" s="79"/>
      <c r="G344" s="80"/>
      <c r="H344" s="79">
        <v>50000</v>
      </c>
      <c r="I344" s="75"/>
      <c r="J344" s="79">
        <v>50000</v>
      </c>
      <c r="K344" s="75"/>
      <c r="L344" s="79">
        <v>50000</v>
      </c>
      <c r="M344" s="75">
        <v>10000</v>
      </c>
      <c r="N344" s="76">
        <f>L344+M344</f>
        <v>60000</v>
      </c>
      <c r="O344" s="75">
        <v>20000</v>
      </c>
      <c r="P344" s="76">
        <f>N344+O344</f>
        <v>80000</v>
      </c>
      <c r="Q344" s="50"/>
      <c r="R344" s="76">
        <f>P344+Q344</f>
        <v>80000</v>
      </c>
      <c r="S344" s="50"/>
      <c r="T344" s="76">
        <f>R344+S344</f>
        <v>80000</v>
      </c>
    </row>
    <row r="345" spans="1:20" ht="81" customHeight="1">
      <c r="A345" s="34" t="s">
        <v>273</v>
      </c>
      <c r="B345" s="73" t="s">
        <v>425</v>
      </c>
      <c r="C345" s="73" t="s">
        <v>430</v>
      </c>
      <c r="D345" s="73" t="s">
        <v>179</v>
      </c>
      <c r="E345" s="73"/>
      <c r="F345" s="95"/>
      <c r="G345" s="73"/>
      <c r="H345" s="95">
        <f>H346+H351+H356</f>
        <v>2351400</v>
      </c>
      <c r="I345" s="75"/>
      <c r="J345" s="95">
        <f>J346+J351+J356</f>
        <v>2351400</v>
      </c>
      <c r="K345" s="75"/>
      <c r="L345" s="95">
        <f>L346+L351+L356</f>
        <v>2351400</v>
      </c>
      <c r="M345" s="75"/>
      <c r="N345" s="95">
        <f>N346+N351+N356</f>
        <v>2351400</v>
      </c>
      <c r="O345" s="75"/>
      <c r="P345" s="95">
        <f>P346+P351+P356</f>
        <v>2417400</v>
      </c>
      <c r="Q345" s="50"/>
      <c r="R345" s="95">
        <f>R346+R351+R356</f>
        <v>2417400</v>
      </c>
      <c r="S345" s="50"/>
      <c r="T345" s="95">
        <f>T346+T351+T356</f>
        <v>2417400</v>
      </c>
    </row>
    <row r="346" spans="1:20" ht="54.75" customHeight="1">
      <c r="A346" s="23" t="s">
        <v>109</v>
      </c>
      <c r="B346" s="73" t="s">
        <v>425</v>
      </c>
      <c r="C346" s="73" t="s">
        <v>430</v>
      </c>
      <c r="D346" s="73" t="s">
        <v>212</v>
      </c>
      <c r="E346" s="73"/>
      <c r="F346" s="95"/>
      <c r="G346" s="73"/>
      <c r="H346" s="95">
        <f>H347+H348+H349+H350</f>
        <v>1459400</v>
      </c>
      <c r="I346" s="75"/>
      <c r="J346" s="95">
        <f>J347+J348+J349+J350</f>
        <v>1459400</v>
      </c>
      <c r="K346" s="75"/>
      <c r="L346" s="95">
        <f>L347+L348+L349+L350</f>
        <v>1459400</v>
      </c>
      <c r="M346" s="75"/>
      <c r="N346" s="95">
        <f>N347+N348+N349+N350</f>
        <v>1459400</v>
      </c>
      <c r="O346" s="75"/>
      <c r="P346" s="95">
        <f>P347+P348+P349+P350</f>
        <v>1459400</v>
      </c>
      <c r="Q346" s="50"/>
      <c r="R346" s="95">
        <f>R347+R348+R349+R350</f>
        <v>1459400</v>
      </c>
      <c r="S346" s="50"/>
      <c r="T346" s="95">
        <f>T347+T348+T349+T350</f>
        <v>1459400</v>
      </c>
    </row>
    <row r="347" spans="1:20" ht="18.75" customHeight="1">
      <c r="A347" s="14" t="s">
        <v>465</v>
      </c>
      <c r="B347" s="73" t="s">
        <v>425</v>
      </c>
      <c r="C347" s="73" t="s">
        <v>430</v>
      </c>
      <c r="D347" s="73" t="s">
        <v>212</v>
      </c>
      <c r="E347" s="73" t="s">
        <v>475</v>
      </c>
      <c r="F347" s="57">
        <v>0</v>
      </c>
      <c r="G347" s="80">
        <v>1143198</v>
      </c>
      <c r="H347" s="57">
        <v>1388068</v>
      </c>
      <c r="I347" s="75">
        <v>-997</v>
      </c>
      <c r="J347" s="76">
        <f>H347+I347</f>
        <v>1387071</v>
      </c>
      <c r="K347" s="75"/>
      <c r="L347" s="76">
        <f>J347+K347</f>
        <v>1387071</v>
      </c>
      <c r="M347" s="75"/>
      <c r="N347" s="76">
        <f>L347+M347</f>
        <v>1387071</v>
      </c>
      <c r="O347" s="75"/>
      <c r="P347" s="76">
        <f>N347+O347</f>
        <v>1387071</v>
      </c>
      <c r="Q347" s="50">
        <f>-10000</f>
        <v>-10000</v>
      </c>
      <c r="R347" s="76">
        <f>P347+Q347</f>
        <v>1377071</v>
      </c>
      <c r="S347" s="50"/>
      <c r="T347" s="76">
        <f>R347+S347</f>
        <v>1377071</v>
      </c>
    </row>
    <row r="348" spans="1:20" ht="36" customHeight="1">
      <c r="A348" s="14" t="s">
        <v>466</v>
      </c>
      <c r="B348" s="73" t="s">
        <v>425</v>
      </c>
      <c r="C348" s="73" t="s">
        <v>430</v>
      </c>
      <c r="D348" s="73" t="s">
        <v>212</v>
      </c>
      <c r="E348" s="73" t="s">
        <v>478</v>
      </c>
      <c r="F348" s="57">
        <v>0</v>
      </c>
      <c r="G348" s="80">
        <v>3500</v>
      </c>
      <c r="H348" s="57">
        <v>1000</v>
      </c>
      <c r="I348" s="75">
        <v>997</v>
      </c>
      <c r="J348" s="76">
        <f>H348+I348</f>
        <v>1997</v>
      </c>
      <c r="K348" s="75"/>
      <c r="L348" s="76">
        <f>J348+K348</f>
        <v>1997</v>
      </c>
      <c r="M348" s="75"/>
      <c r="N348" s="76">
        <f>L348+M348</f>
        <v>1997</v>
      </c>
      <c r="O348" s="75"/>
      <c r="P348" s="76">
        <f>N348+O348</f>
        <v>1997</v>
      </c>
      <c r="Q348" s="50"/>
      <c r="R348" s="76">
        <f>P348+Q348</f>
        <v>1997</v>
      </c>
      <c r="S348" s="50"/>
      <c r="T348" s="76">
        <f>R348+S348</f>
        <v>1997</v>
      </c>
    </row>
    <row r="349" spans="1:20" ht="47.25" customHeight="1">
      <c r="A349" s="14" t="s">
        <v>467</v>
      </c>
      <c r="B349" s="73" t="s">
        <v>425</v>
      </c>
      <c r="C349" s="73" t="s">
        <v>430</v>
      </c>
      <c r="D349" s="73" t="s">
        <v>212</v>
      </c>
      <c r="E349" s="73" t="s">
        <v>462</v>
      </c>
      <c r="F349" s="57">
        <v>0</v>
      </c>
      <c r="G349" s="80">
        <v>89500</v>
      </c>
      <c r="H349" s="57">
        <v>58072</v>
      </c>
      <c r="I349" s="75"/>
      <c r="J349" s="76">
        <f>H349+I349</f>
        <v>58072</v>
      </c>
      <c r="K349" s="75"/>
      <c r="L349" s="76">
        <f>J349+K349</f>
        <v>58072</v>
      </c>
      <c r="M349" s="75"/>
      <c r="N349" s="76">
        <f>L349+M349</f>
        <v>58072</v>
      </c>
      <c r="O349" s="75"/>
      <c r="P349" s="76">
        <f>N349+O349</f>
        <v>58072</v>
      </c>
      <c r="Q349" s="50"/>
      <c r="R349" s="76">
        <f>P349+Q349</f>
        <v>58072</v>
      </c>
      <c r="S349" s="50"/>
      <c r="T349" s="76">
        <f>R349+S349</f>
        <v>58072</v>
      </c>
    </row>
    <row r="350" spans="1:20" ht="36.75" customHeight="1">
      <c r="A350" s="23" t="s">
        <v>491</v>
      </c>
      <c r="B350" s="73" t="s">
        <v>425</v>
      </c>
      <c r="C350" s="73" t="s">
        <v>430</v>
      </c>
      <c r="D350" s="73" t="s">
        <v>212</v>
      </c>
      <c r="E350" s="73" t="s">
        <v>463</v>
      </c>
      <c r="F350" s="57">
        <v>0</v>
      </c>
      <c r="G350" s="80">
        <v>34902</v>
      </c>
      <c r="H350" s="57">
        <v>12260</v>
      </c>
      <c r="I350" s="75"/>
      <c r="J350" s="76">
        <f>H350+I350</f>
        <v>12260</v>
      </c>
      <c r="K350" s="75"/>
      <c r="L350" s="76">
        <f>J350+K350</f>
        <v>12260</v>
      </c>
      <c r="M350" s="75"/>
      <c r="N350" s="76">
        <f>L350+M350</f>
        <v>12260</v>
      </c>
      <c r="O350" s="75"/>
      <c r="P350" s="76">
        <f>N350+O350</f>
        <v>12260</v>
      </c>
      <c r="Q350" s="50">
        <f>10000</f>
        <v>10000</v>
      </c>
      <c r="R350" s="76">
        <f>P350+Q350</f>
        <v>22260</v>
      </c>
      <c r="S350" s="50"/>
      <c r="T350" s="76">
        <f>R350+S350</f>
        <v>22260</v>
      </c>
    </row>
    <row r="351" spans="1:20" ht="37.5" customHeight="1">
      <c r="A351" s="23" t="s">
        <v>423</v>
      </c>
      <c r="B351" s="73" t="s">
        <v>425</v>
      </c>
      <c r="C351" s="73" t="s">
        <v>430</v>
      </c>
      <c r="D351" s="73" t="s">
        <v>180</v>
      </c>
      <c r="E351" s="73"/>
      <c r="F351" s="79">
        <f>F352+F354+F355</f>
        <v>0</v>
      </c>
      <c r="G351" s="80"/>
      <c r="H351" s="79">
        <f>H352+H354+H355</f>
        <v>792000</v>
      </c>
      <c r="I351" s="75"/>
      <c r="J351" s="79">
        <f>J352+J354+J355+J353</f>
        <v>792000</v>
      </c>
      <c r="K351" s="75"/>
      <c r="L351" s="79">
        <f>L352+L354+L355+L353</f>
        <v>792000</v>
      </c>
      <c r="M351" s="75"/>
      <c r="N351" s="79">
        <f>N352+N354+N355+N353</f>
        <v>792000</v>
      </c>
      <c r="O351" s="75"/>
      <c r="P351" s="79">
        <f>P352+P354+P355+P353</f>
        <v>858000</v>
      </c>
      <c r="Q351" s="50"/>
      <c r="R351" s="79">
        <f>R352+R354+R355+R353</f>
        <v>858000</v>
      </c>
      <c r="S351" s="50"/>
      <c r="T351" s="79">
        <f>T352+T354+T355+T353</f>
        <v>858000</v>
      </c>
    </row>
    <row r="352" spans="1:20" ht="23.25" customHeight="1">
      <c r="A352" s="14" t="s">
        <v>465</v>
      </c>
      <c r="B352" s="73" t="s">
        <v>425</v>
      </c>
      <c r="C352" s="73" t="s">
        <v>430</v>
      </c>
      <c r="D352" s="73" t="s">
        <v>180</v>
      </c>
      <c r="E352" s="73" t="s">
        <v>460</v>
      </c>
      <c r="F352" s="57">
        <v>0</v>
      </c>
      <c r="G352" s="80">
        <v>650126</v>
      </c>
      <c r="H352" s="57">
        <v>697474</v>
      </c>
      <c r="I352" s="75">
        <v>-600</v>
      </c>
      <c r="J352" s="76">
        <f>H352+I352</f>
        <v>696874</v>
      </c>
      <c r="K352" s="75"/>
      <c r="L352" s="76">
        <f>J352+K352</f>
        <v>696874</v>
      </c>
      <c r="M352" s="75"/>
      <c r="N352" s="76">
        <f>L352+M352</f>
        <v>696874</v>
      </c>
      <c r="O352" s="75"/>
      <c r="P352" s="76">
        <f>N352+O352</f>
        <v>696874</v>
      </c>
      <c r="Q352" s="50"/>
      <c r="R352" s="76">
        <f>P352+Q352</f>
        <v>696874</v>
      </c>
      <c r="S352" s="50"/>
      <c r="T352" s="76">
        <f>R352+S352</f>
        <v>696874</v>
      </c>
    </row>
    <row r="353" spans="1:20" ht="45.75" customHeight="1">
      <c r="A353" s="12" t="s">
        <v>466</v>
      </c>
      <c r="B353" s="73" t="s">
        <v>425</v>
      </c>
      <c r="C353" s="73" t="s">
        <v>430</v>
      </c>
      <c r="D353" s="73" t="s">
        <v>180</v>
      </c>
      <c r="E353" s="73" t="s">
        <v>461</v>
      </c>
      <c r="F353" s="57"/>
      <c r="G353" s="80"/>
      <c r="H353" s="57"/>
      <c r="I353" s="75">
        <v>600</v>
      </c>
      <c r="J353" s="76">
        <f>H353+I353</f>
        <v>600</v>
      </c>
      <c r="K353" s="75"/>
      <c r="L353" s="76">
        <f>J353+K353</f>
        <v>600</v>
      </c>
      <c r="M353" s="75"/>
      <c r="N353" s="76">
        <f>L353+M353</f>
        <v>600</v>
      </c>
      <c r="O353" s="75"/>
      <c r="P353" s="76">
        <f>N353+O353</f>
        <v>600</v>
      </c>
      <c r="Q353" s="50"/>
      <c r="R353" s="76">
        <f>P353+Q353</f>
        <v>600</v>
      </c>
      <c r="S353" s="50"/>
      <c r="T353" s="76">
        <f>R353+S353</f>
        <v>600</v>
      </c>
    </row>
    <row r="354" spans="1:20" ht="21.75" customHeight="1">
      <c r="A354" s="14" t="s">
        <v>467</v>
      </c>
      <c r="B354" s="73" t="s">
        <v>425</v>
      </c>
      <c r="C354" s="73" t="s">
        <v>430</v>
      </c>
      <c r="D354" s="73" t="s">
        <v>180</v>
      </c>
      <c r="E354" s="73" t="s">
        <v>462</v>
      </c>
      <c r="F354" s="57">
        <v>0</v>
      </c>
      <c r="G354" s="80">
        <v>31660</v>
      </c>
      <c r="H354" s="57">
        <v>33026</v>
      </c>
      <c r="I354" s="75">
        <v>-8400</v>
      </c>
      <c r="J354" s="76">
        <f>H354+I354</f>
        <v>24626</v>
      </c>
      <c r="K354" s="75"/>
      <c r="L354" s="76">
        <f>J354+K354</f>
        <v>24626</v>
      </c>
      <c r="M354" s="75"/>
      <c r="N354" s="76">
        <f>L354+M354</f>
        <v>24626</v>
      </c>
      <c r="O354" s="75">
        <v>66000</v>
      </c>
      <c r="P354" s="76">
        <f>N354+O354</f>
        <v>90626</v>
      </c>
      <c r="Q354" s="50"/>
      <c r="R354" s="76">
        <f>P354+Q354</f>
        <v>90626</v>
      </c>
      <c r="S354" s="50"/>
      <c r="T354" s="76">
        <f>R354+S354</f>
        <v>90626</v>
      </c>
    </row>
    <row r="355" spans="1:20" ht="36" customHeight="1">
      <c r="A355" s="23" t="s">
        <v>491</v>
      </c>
      <c r="B355" s="73" t="s">
        <v>425</v>
      </c>
      <c r="C355" s="73" t="s">
        <v>430</v>
      </c>
      <c r="D355" s="73" t="s">
        <v>180</v>
      </c>
      <c r="E355" s="96" t="s">
        <v>463</v>
      </c>
      <c r="F355" s="57">
        <v>0</v>
      </c>
      <c r="G355" s="80">
        <v>21214</v>
      </c>
      <c r="H355" s="57">
        <v>61500</v>
      </c>
      <c r="I355" s="75">
        <v>8400</v>
      </c>
      <c r="J355" s="76">
        <f>H355+I355</f>
        <v>69900</v>
      </c>
      <c r="K355" s="75"/>
      <c r="L355" s="76">
        <f>J355+K355</f>
        <v>69900</v>
      </c>
      <c r="M355" s="75"/>
      <c r="N355" s="76">
        <f>L355+M355</f>
        <v>69900</v>
      </c>
      <c r="O355" s="75"/>
      <c r="P355" s="76">
        <f>N355+O355</f>
        <v>69900</v>
      </c>
      <c r="Q355" s="50"/>
      <c r="R355" s="76">
        <f>P355+Q355</f>
        <v>69900</v>
      </c>
      <c r="S355" s="50"/>
      <c r="T355" s="76">
        <f>R355+S355</f>
        <v>69900</v>
      </c>
    </row>
    <row r="356" spans="1:20" ht="20.25" customHeight="1">
      <c r="A356" s="14" t="s">
        <v>176</v>
      </c>
      <c r="B356" s="73" t="s">
        <v>425</v>
      </c>
      <c r="C356" s="73" t="s">
        <v>430</v>
      </c>
      <c r="D356" s="73" t="s">
        <v>225</v>
      </c>
      <c r="E356" s="73"/>
      <c r="F356" s="79"/>
      <c r="G356" s="80"/>
      <c r="H356" s="79">
        <f>H357</f>
        <v>100000</v>
      </c>
      <c r="I356" s="75"/>
      <c r="J356" s="79">
        <f>J357</f>
        <v>100000</v>
      </c>
      <c r="K356" s="75"/>
      <c r="L356" s="79">
        <f>L357</f>
        <v>100000</v>
      </c>
      <c r="M356" s="75"/>
      <c r="N356" s="79">
        <f>N357</f>
        <v>100000</v>
      </c>
      <c r="O356" s="75"/>
      <c r="P356" s="79">
        <f>P357</f>
        <v>100000</v>
      </c>
      <c r="Q356" s="50"/>
      <c r="R356" s="79">
        <f>R357</f>
        <v>100000</v>
      </c>
      <c r="S356" s="50"/>
      <c r="T356" s="79">
        <f>T357</f>
        <v>100000</v>
      </c>
    </row>
    <row r="357" spans="1:20" ht="36" customHeight="1">
      <c r="A357" s="23" t="s">
        <v>491</v>
      </c>
      <c r="B357" s="73" t="s">
        <v>425</v>
      </c>
      <c r="C357" s="73" t="s">
        <v>430</v>
      </c>
      <c r="D357" s="73" t="s">
        <v>225</v>
      </c>
      <c r="E357" s="96" t="s">
        <v>463</v>
      </c>
      <c r="F357" s="57"/>
      <c r="G357" s="80"/>
      <c r="H357" s="57">
        <v>100000</v>
      </c>
      <c r="I357" s="75"/>
      <c r="J357" s="76">
        <f>H357+I357</f>
        <v>100000</v>
      </c>
      <c r="K357" s="75"/>
      <c r="L357" s="76">
        <f>J357+K357</f>
        <v>100000</v>
      </c>
      <c r="M357" s="75"/>
      <c r="N357" s="76">
        <f>L357+M357</f>
        <v>100000</v>
      </c>
      <c r="O357" s="75"/>
      <c r="P357" s="76">
        <f>N357+O357</f>
        <v>100000</v>
      </c>
      <c r="Q357" s="50"/>
      <c r="R357" s="76">
        <f>P357+Q357</f>
        <v>100000</v>
      </c>
      <c r="S357" s="50"/>
      <c r="T357" s="76">
        <f>R357+S357</f>
        <v>100000</v>
      </c>
    </row>
    <row r="358" spans="1:20" ht="36" customHeight="1">
      <c r="A358" s="12" t="s">
        <v>406</v>
      </c>
      <c r="B358" s="73" t="s">
        <v>425</v>
      </c>
      <c r="C358" s="73" t="s">
        <v>373</v>
      </c>
      <c r="D358" s="73"/>
      <c r="E358" s="96"/>
      <c r="F358" s="57"/>
      <c r="G358" s="80"/>
      <c r="H358" s="57">
        <f>H359</f>
        <v>250000</v>
      </c>
      <c r="I358" s="75"/>
      <c r="J358" s="57">
        <f>J359</f>
        <v>750000</v>
      </c>
      <c r="K358" s="75"/>
      <c r="L358" s="57">
        <f>L359</f>
        <v>750000</v>
      </c>
      <c r="M358" s="75"/>
      <c r="N358" s="57">
        <f>N359</f>
        <v>740000</v>
      </c>
      <c r="O358" s="75"/>
      <c r="P358" s="57">
        <f>P359</f>
        <v>554000</v>
      </c>
      <c r="Q358" s="50"/>
      <c r="R358" s="57">
        <f>R359</f>
        <v>1182200</v>
      </c>
      <c r="S358" s="50"/>
      <c r="T358" s="57">
        <f>T359</f>
        <v>2574090.71</v>
      </c>
    </row>
    <row r="359" spans="1:20" ht="79.5" customHeight="1">
      <c r="A359" s="23" t="s">
        <v>174</v>
      </c>
      <c r="B359" s="73" t="s">
        <v>425</v>
      </c>
      <c r="C359" s="73" t="s">
        <v>373</v>
      </c>
      <c r="D359" s="73" t="s">
        <v>178</v>
      </c>
      <c r="E359" s="96"/>
      <c r="F359" s="57"/>
      <c r="G359" s="80"/>
      <c r="H359" s="57">
        <f>H360</f>
        <v>250000</v>
      </c>
      <c r="I359" s="75"/>
      <c r="J359" s="57">
        <f>J360</f>
        <v>750000</v>
      </c>
      <c r="K359" s="75"/>
      <c r="L359" s="57">
        <f>L360</f>
        <v>750000</v>
      </c>
      <c r="M359" s="75"/>
      <c r="N359" s="57">
        <f>N360</f>
        <v>740000</v>
      </c>
      <c r="O359" s="75"/>
      <c r="P359" s="57">
        <f>P360</f>
        <v>554000</v>
      </c>
      <c r="Q359" s="50"/>
      <c r="R359" s="57">
        <f>R360</f>
        <v>1182200</v>
      </c>
      <c r="S359" s="50"/>
      <c r="T359" s="57">
        <f>T360</f>
        <v>2574090.71</v>
      </c>
    </row>
    <row r="360" spans="1:20" ht="49.5" customHeight="1">
      <c r="A360" s="14" t="s">
        <v>219</v>
      </c>
      <c r="B360" s="73" t="s">
        <v>425</v>
      </c>
      <c r="C360" s="73" t="s">
        <v>373</v>
      </c>
      <c r="D360" s="73" t="s">
        <v>220</v>
      </c>
      <c r="E360" s="73"/>
      <c r="F360" s="79"/>
      <c r="G360" s="80"/>
      <c r="H360" s="79">
        <f>H361</f>
        <v>250000</v>
      </c>
      <c r="I360" s="75"/>
      <c r="J360" s="79">
        <f>J361+J363</f>
        <v>750000</v>
      </c>
      <c r="K360" s="75"/>
      <c r="L360" s="79">
        <f>L361+L363</f>
        <v>750000</v>
      </c>
      <c r="M360" s="75"/>
      <c r="N360" s="79">
        <f>N361+N363</f>
        <v>740000</v>
      </c>
      <c r="O360" s="75"/>
      <c r="P360" s="79">
        <f>P361+P363</f>
        <v>554000</v>
      </c>
      <c r="Q360" s="50"/>
      <c r="R360" s="79">
        <f>R361+R363+R365</f>
        <v>1182200</v>
      </c>
      <c r="S360" s="50"/>
      <c r="T360" s="79">
        <f>T361+T363+T365</f>
        <v>2574090.71</v>
      </c>
    </row>
    <row r="361" spans="1:20" ht="34.5" customHeight="1">
      <c r="A361" s="48" t="s">
        <v>25</v>
      </c>
      <c r="B361" s="73" t="s">
        <v>425</v>
      </c>
      <c r="C361" s="73" t="s">
        <v>373</v>
      </c>
      <c r="D361" s="73" t="s">
        <v>221</v>
      </c>
      <c r="E361" s="73"/>
      <c r="F361" s="79"/>
      <c r="G361" s="80"/>
      <c r="H361" s="79">
        <f>H362</f>
        <v>250000</v>
      </c>
      <c r="I361" s="75"/>
      <c r="J361" s="79">
        <f>J362</f>
        <v>740000</v>
      </c>
      <c r="K361" s="75"/>
      <c r="L361" s="79">
        <f>L362</f>
        <v>740000</v>
      </c>
      <c r="M361" s="75"/>
      <c r="N361" s="79">
        <f>N362</f>
        <v>730000</v>
      </c>
      <c r="O361" s="75"/>
      <c r="P361" s="79">
        <f>P362</f>
        <v>544000</v>
      </c>
      <c r="Q361" s="50"/>
      <c r="R361" s="79">
        <f>R362</f>
        <v>444000</v>
      </c>
      <c r="S361" s="50"/>
      <c r="T361" s="79">
        <f>T362</f>
        <v>1835890.71</v>
      </c>
    </row>
    <row r="362" spans="1:20" ht="33.75" customHeight="1">
      <c r="A362" s="14" t="s">
        <v>491</v>
      </c>
      <c r="B362" s="73" t="s">
        <v>425</v>
      </c>
      <c r="C362" s="73" t="s">
        <v>373</v>
      </c>
      <c r="D362" s="73" t="s">
        <v>221</v>
      </c>
      <c r="E362" s="73" t="s">
        <v>463</v>
      </c>
      <c r="F362" s="79"/>
      <c r="G362" s="80"/>
      <c r="H362" s="79">
        <v>250000</v>
      </c>
      <c r="I362" s="75">
        <f>-10000+500000</f>
        <v>490000</v>
      </c>
      <c r="J362" s="76">
        <f>H362+I362</f>
        <v>740000</v>
      </c>
      <c r="K362" s="75"/>
      <c r="L362" s="76">
        <f>J362+K362</f>
        <v>740000</v>
      </c>
      <c r="M362" s="75">
        <v>-10000</v>
      </c>
      <c r="N362" s="76">
        <f>L362+M362</f>
        <v>730000</v>
      </c>
      <c r="O362" s="75">
        <f>-86000-100000</f>
        <v>-186000</v>
      </c>
      <c r="P362" s="76">
        <f>N362+O362</f>
        <v>544000</v>
      </c>
      <c r="Q362" s="50">
        <v>-100000</v>
      </c>
      <c r="R362" s="76">
        <f>P362+Q362</f>
        <v>444000</v>
      </c>
      <c r="S362" s="50">
        <f>1400000-8109.29</f>
        <v>1391890.71</v>
      </c>
      <c r="T362" s="76">
        <f>R362+S362</f>
        <v>1835890.71</v>
      </c>
    </row>
    <row r="363" spans="1:20" ht="37.5" customHeight="1">
      <c r="A363" s="14" t="s">
        <v>26</v>
      </c>
      <c r="B363" s="73" t="s">
        <v>425</v>
      </c>
      <c r="C363" s="73" t="s">
        <v>373</v>
      </c>
      <c r="D363" s="73" t="s">
        <v>279</v>
      </c>
      <c r="E363" s="73"/>
      <c r="F363" s="79"/>
      <c r="G363" s="80"/>
      <c r="H363" s="79"/>
      <c r="I363" s="75"/>
      <c r="J363" s="76">
        <f>J364</f>
        <v>10000</v>
      </c>
      <c r="K363" s="75"/>
      <c r="L363" s="76">
        <f>L364</f>
        <v>10000</v>
      </c>
      <c r="M363" s="75"/>
      <c r="N363" s="76">
        <f>N364</f>
        <v>10000</v>
      </c>
      <c r="O363" s="75"/>
      <c r="P363" s="76">
        <f>P364</f>
        <v>10000</v>
      </c>
      <c r="Q363" s="50"/>
      <c r="R363" s="76">
        <f>R364</f>
        <v>10000</v>
      </c>
      <c r="S363" s="50"/>
      <c r="T363" s="76">
        <f>T364</f>
        <v>10000</v>
      </c>
    </row>
    <row r="364" spans="1:20" ht="33.75" customHeight="1">
      <c r="A364" s="14" t="s">
        <v>491</v>
      </c>
      <c r="B364" s="73" t="s">
        <v>425</v>
      </c>
      <c r="C364" s="73" t="s">
        <v>373</v>
      </c>
      <c r="D364" s="73" t="s">
        <v>279</v>
      </c>
      <c r="E364" s="73" t="s">
        <v>463</v>
      </c>
      <c r="F364" s="79"/>
      <c r="G364" s="80"/>
      <c r="H364" s="79"/>
      <c r="I364" s="75">
        <v>10000</v>
      </c>
      <c r="J364" s="76">
        <f>H364+I364</f>
        <v>10000</v>
      </c>
      <c r="K364" s="75"/>
      <c r="L364" s="76">
        <f>J364+K364</f>
        <v>10000</v>
      </c>
      <c r="M364" s="75"/>
      <c r="N364" s="76">
        <f>L364+M364</f>
        <v>10000</v>
      </c>
      <c r="O364" s="75"/>
      <c r="P364" s="76">
        <f>N364+O364</f>
        <v>10000</v>
      </c>
      <c r="Q364" s="50"/>
      <c r="R364" s="76">
        <f>P364+Q364</f>
        <v>10000</v>
      </c>
      <c r="S364" s="50"/>
      <c r="T364" s="76">
        <f>R364+S364</f>
        <v>10000</v>
      </c>
    </row>
    <row r="365" spans="1:20" ht="96" customHeight="1">
      <c r="A365" s="14" t="s">
        <v>595</v>
      </c>
      <c r="B365" s="73" t="s">
        <v>425</v>
      </c>
      <c r="C365" s="73" t="s">
        <v>373</v>
      </c>
      <c r="D365" s="73" t="s">
        <v>89</v>
      </c>
      <c r="E365" s="73"/>
      <c r="F365" s="79"/>
      <c r="G365" s="80"/>
      <c r="H365" s="79"/>
      <c r="I365" s="114"/>
      <c r="J365" s="115"/>
      <c r="K365" s="116"/>
      <c r="L365" s="115"/>
      <c r="M365" s="116"/>
      <c r="N365" s="115"/>
      <c r="O365" s="116"/>
      <c r="P365" s="117"/>
      <c r="Q365" s="126"/>
      <c r="R365" s="115">
        <f>R366</f>
        <v>728200</v>
      </c>
      <c r="S365" s="50"/>
      <c r="T365" s="115">
        <f>T366</f>
        <v>728200</v>
      </c>
    </row>
    <row r="366" spans="1:20" ht="33.75" customHeight="1">
      <c r="A366" s="14" t="s">
        <v>491</v>
      </c>
      <c r="B366" s="73" t="s">
        <v>425</v>
      </c>
      <c r="C366" s="73" t="s">
        <v>373</v>
      </c>
      <c r="D366" s="73" t="s">
        <v>89</v>
      </c>
      <c r="E366" s="73" t="s">
        <v>463</v>
      </c>
      <c r="F366" s="79"/>
      <c r="G366" s="80"/>
      <c r="H366" s="79"/>
      <c r="I366" s="114"/>
      <c r="J366" s="115"/>
      <c r="K366" s="116"/>
      <c r="L366" s="115"/>
      <c r="M366" s="116"/>
      <c r="N366" s="115"/>
      <c r="O366" s="116"/>
      <c r="P366" s="117"/>
      <c r="Q366" s="126">
        <v>728200</v>
      </c>
      <c r="R366" s="115">
        <f>P366+Q366</f>
        <v>728200</v>
      </c>
      <c r="S366" s="50"/>
      <c r="T366" s="115">
        <f>R366+S366</f>
        <v>728200</v>
      </c>
    </row>
    <row r="367" spans="1:20" ht="22.5" customHeight="1">
      <c r="A367" s="67" t="s">
        <v>407</v>
      </c>
      <c r="B367" s="73" t="s">
        <v>425</v>
      </c>
      <c r="C367" s="73" t="s">
        <v>358</v>
      </c>
      <c r="D367" s="73"/>
      <c r="E367" s="73"/>
      <c r="F367" s="79"/>
      <c r="G367" s="80"/>
      <c r="H367" s="79"/>
      <c r="I367" s="114"/>
      <c r="J367" s="115"/>
      <c r="K367" s="116"/>
      <c r="L367" s="115"/>
      <c r="M367" s="116"/>
      <c r="N367" s="115"/>
      <c r="O367" s="116"/>
      <c r="P367" s="117"/>
      <c r="Q367" s="126"/>
      <c r="R367" s="115"/>
      <c r="S367" s="50"/>
      <c r="T367" s="115">
        <f>T368</f>
        <v>696636.29</v>
      </c>
    </row>
    <row r="368" spans="1:20" ht="17.25" customHeight="1">
      <c r="A368" s="24" t="s">
        <v>408</v>
      </c>
      <c r="B368" s="73" t="s">
        <v>425</v>
      </c>
      <c r="C368" s="73" t="s">
        <v>359</v>
      </c>
      <c r="D368" s="73"/>
      <c r="E368" s="73"/>
      <c r="F368" s="79"/>
      <c r="G368" s="80"/>
      <c r="H368" s="79"/>
      <c r="I368" s="114"/>
      <c r="J368" s="115"/>
      <c r="K368" s="116"/>
      <c r="L368" s="115"/>
      <c r="M368" s="116"/>
      <c r="N368" s="115"/>
      <c r="O368" s="116"/>
      <c r="P368" s="117"/>
      <c r="Q368" s="126"/>
      <c r="R368" s="115"/>
      <c r="S368" s="50"/>
      <c r="T368" s="115">
        <f>T369</f>
        <v>696636.29</v>
      </c>
    </row>
    <row r="369" spans="1:20" ht="66.75" customHeight="1">
      <c r="A369" s="127" t="s">
        <v>105</v>
      </c>
      <c r="B369" s="73" t="s">
        <v>425</v>
      </c>
      <c r="C369" s="73" t="s">
        <v>359</v>
      </c>
      <c r="D369" s="73" t="s">
        <v>178</v>
      </c>
      <c r="E369" s="73"/>
      <c r="F369" s="122"/>
      <c r="G369" s="128"/>
      <c r="H369" s="57"/>
      <c r="I369" s="114"/>
      <c r="J369" s="57"/>
      <c r="K369" s="116"/>
      <c r="L369" s="57"/>
      <c r="M369" s="116"/>
      <c r="N369" s="57"/>
      <c r="O369" s="116"/>
      <c r="P369" s="129"/>
      <c r="Q369" s="118"/>
      <c r="R369" s="57"/>
      <c r="S369" s="118"/>
      <c r="T369" s="57">
        <f>T370</f>
        <v>696636.29</v>
      </c>
    </row>
    <row r="370" spans="1:20" ht="55.5" customHeight="1">
      <c r="A370" s="127" t="s">
        <v>274</v>
      </c>
      <c r="B370" s="73" t="s">
        <v>425</v>
      </c>
      <c r="C370" s="73" t="s">
        <v>359</v>
      </c>
      <c r="D370" s="73" t="s">
        <v>275</v>
      </c>
      <c r="E370" s="73"/>
      <c r="F370" s="122"/>
      <c r="G370" s="128"/>
      <c r="H370" s="57"/>
      <c r="I370" s="114"/>
      <c r="J370" s="57"/>
      <c r="K370" s="116"/>
      <c r="L370" s="57"/>
      <c r="M370" s="116"/>
      <c r="N370" s="57"/>
      <c r="O370" s="116"/>
      <c r="P370" s="129"/>
      <c r="Q370" s="118"/>
      <c r="R370" s="57"/>
      <c r="S370" s="118"/>
      <c r="T370" s="57">
        <f>T371</f>
        <v>696636.29</v>
      </c>
    </row>
    <row r="371" spans="1:20" ht="82.5" customHeight="1">
      <c r="A371" s="127" t="s">
        <v>276</v>
      </c>
      <c r="B371" s="73" t="s">
        <v>425</v>
      </c>
      <c r="C371" s="73" t="s">
        <v>359</v>
      </c>
      <c r="D371" s="73" t="s">
        <v>277</v>
      </c>
      <c r="E371" s="73"/>
      <c r="F371" s="122"/>
      <c r="G371" s="128"/>
      <c r="H371" s="57"/>
      <c r="I371" s="114"/>
      <c r="J371" s="57"/>
      <c r="K371" s="116"/>
      <c r="L371" s="57"/>
      <c r="M371" s="116"/>
      <c r="N371" s="57"/>
      <c r="O371" s="116"/>
      <c r="P371" s="129"/>
      <c r="Q371" s="118"/>
      <c r="R371" s="57"/>
      <c r="S371" s="118"/>
      <c r="T371" s="57">
        <f>T373+T372</f>
        <v>696636.29</v>
      </c>
    </row>
    <row r="372" spans="1:20" ht="33.75" customHeight="1">
      <c r="A372" s="127" t="s">
        <v>491</v>
      </c>
      <c r="B372" s="73" t="s">
        <v>425</v>
      </c>
      <c r="C372" s="73" t="s">
        <v>359</v>
      </c>
      <c r="D372" s="73" t="s">
        <v>277</v>
      </c>
      <c r="E372" s="73" t="s">
        <v>463</v>
      </c>
      <c r="F372" s="122"/>
      <c r="G372" s="128"/>
      <c r="H372" s="57"/>
      <c r="I372" s="114"/>
      <c r="J372" s="57"/>
      <c r="K372" s="116"/>
      <c r="L372" s="57"/>
      <c r="M372" s="116"/>
      <c r="N372" s="57"/>
      <c r="O372" s="116"/>
      <c r="P372" s="129"/>
      <c r="Q372" s="118"/>
      <c r="R372" s="57"/>
      <c r="S372" s="118">
        <v>8109.29</v>
      </c>
      <c r="T372" s="57">
        <f>R372+S372</f>
        <v>8109.29</v>
      </c>
    </row>
    <row r="373" spans="1:20" ht="64.5" customHeight="1">
      <c r="A373" s="127" t="s">
        <v>331</v>
      </c>
      <c r="B373" s="73" t="s">
        <v>425</v>
      </c>
      <c r="C373" s="73" t="s">
        <v>359</v>
      </c>
      <c r="D373" s="73" t="s">
        <v>277</v>
      </c>
      <c r="E373" s="73" t="s">
        <v>330</v>
      </c>
      <c r="F373" s="122"/>
      <c r="G373" s="128"/>
      <c r="H373" s="57"/>
      <c r="I373" s="114"/>
      <c r="J373" s="57"/>
      <c r="K373" s="116"/>
      <c r="L373" s="57"/>
      <c r="M373" s="116"/>
      <c r="N373" s="57"/>
      <c r="O373" s="116"/>
      <c r="P373" s="129"/>
      <c r="Q373" s="118"/>
      <c r="R373" s="57"/>
      <c r="S373" s="118">
        <f>688527</f>
        <v>688527</v>
      </c>
      <c r="T373" s="57">
        <f>R373+S373</f>
        <v>688527</v>
      </c>
    </row>
    <row r="374" spans="1:20" s="1" customFormat="1" ht="34.5" customHeight="1">
      <c r="A374" s="11" t="s">
        <v>426</v>
      </c>
      <c r="B374" s="72" t="s">
        <v>393</v>
      </c>
      <c r="C374" s="73"/>
      <c r="D374" s="73"/>
      <c r="E374" s="73"/>
      <c r="F374" s="74" t="e">
        <f>F375+F544</f>
        <v>#REF!</v>
      </c>
      <c r="G374" s="73"/>
      <c r="H374" s="74">
        <f>H375+H544</f>
        <v>573938300</v>
      </c>
      <c r="I374" s="77"/>
      <c r="J374" s="74">
        <f>J375+J544</f>
        <v>654300671.04</v>
      </c>
      <c r="K374" s="78"/>
      <c r="L374" s="74">
        <f>L375+L544</f>
        <v>691508396.04</v>
      </c>
      <c r="M374" s="78"/>
      <c r="N374" s="74">
        <f>N375+N544</f>
        <v>691508396.04</v>
      </c>
      <c r="O374" s="77"/>
      <c r="P374" s="74">
        <f>P375+P544</f>
        <v>664180702.93</v>
      </c>
      <c r="Q374" s="110"/>
      <c r="R374" s="74">
        <f>R375+R544</f>
        <v>737018970.93</v>
      </c>
      <c r="S374" s="110"/>
      <c r="T374" s="74">
        <f>T375+T544</f>
        <v>721540070.9300001</v>
      </c>
    </row>
    <row r="375" spans="1:20" ht="18.75" customHeight="1">
      <c r="A375" s="12" t="s">
        <v>411</v>
      </c>
      <c r="B375" s="73" t="s">
        <v>393</v>
      </c>
      <c r="C375" s="73" t="s">
        <v>362</v>
      </c>
      <c r="D375" s="73"/>
      <c r="E375" s="73"/>
      <c r="F375" s="57" t="e">
        <f>F376+F433+F479+F524</f>
        <v>#REF!</v>
      </c>
      <c r="G375" s="73"/>
      <c r="H375" s="57">
        <f>H376+H433+H508+H524</f>
        <v>573815500</v>
      </c>
      <c r="I375" s="75"/>
      <c r="J375" s="57">
        <f>J376+J433+J508+J524</f>
        <v>654177871.04</v>
      </c>
      <c r="K375" s="78"/>
      <c r="L375" s="57">
        <f>L376+L433+L508+L524</f>
        <v>691385596.04</v>
      </c>
      <c r="M375" s="75"/>
      <c r="N375" s="57">
        <f>N376+N433+N508+N524</f>
        <v>691385596.04</v>
      </c>
      <c r="O375" s="75"/>
      <c r="P375" s="57">
        <f>P376+P433+P508+P524</f>
        <v>664057902.93</v>
      </c>
      <c r="Q375" s="50"/>
      <c r="R375" s="57">
        <f>R376+R433+R508+R524</f>
        <v>736896170.93</v>
      </c>
      <c r="S375" s="50"/>
      <c r="T375" s="57">
        <f>T376+T433+T508+T524</f>
        <v>721417270.9300001</v>
      </c>
    </row>
    <row r="376" spans="1:24" ht="17.25" customHeight="1">
      <c r="A376" s="12" t="s">
        <v>394</v>
      </c>
      <c r="B376" s="73" t="s">
        <v>393</v>
      </c>
      <c r="C376" s="73" t="s">
        <v>395</v>
      </c>
      <c r="D376" s="73"/>
      <c r="E376" s="73"/>
      <c r="F376" s="57" t="e">
        <f>#REF!+F395+#REF!+#REF!+#REF!</f>
        <v>#REF!</v>
      </c>
      <c r="G376" s="73"/>
      <c r="H376" s="57">
        <f>H378</f>
        <v>159567359</v>
      </c>
      <c r="I376" s="75"/>
      <c r="J376" s="57">
        <f>J377</f>
        <v>260604056.66</v>
      </c>
      <c r="K376" s="76"/>
      <c r="L376" s="57">
        <f>L377</f>
        <v>296491219.52000004</v>
      </c>
      <c r="M376" s="75"/>
      <c r="N376" s="57">
        <f>N377</f>
        <v>296491219.52000004</v>
      </c>
      <c r="O376" s="75"/>
      <c r="P376" s="57">
        <f>P377</f>
        <v>282688700.14</v>
      </c>
      <c r="Q376" s="50"/>
      <c r="R376" s="57">
        <f>R377</f>
        <v>344887400.14</v>
      </c>
      <c r="S376" s="50"/>
      <c r="T376" s="57">
        <f>T377</f>
        <v>329536389.21</v>
      </c>
      <c r="U376" s="58"/>
      <c r="V376" s="58"/>
      <c r="W376" s="58"/>
      <c r="X376" s="58"/>
    </row>
    <row r="377" spans="1:24" ht="89.25" customHeight="1">
      <c r="A377" s="71" t="s">
        <v>247</v>
      </c>
      <c r="B377" s="73" t="s">
        <v>393</v>
      </c>
      <c r="C377" s="73" t="s">
        <v>395</v>
      </c>
      <c r="D377" s="73" t="s">
        <v>451</v>
      </c>
      <c r="E377" s="73"/>
      <c r="F377" s="57"/>
      <c r="G377" s="73"/>
      <c r="H377" s="57">
        <f>H378</f>
        <v>159567359</v>
      </c>
      <c r="I377" s="75"/>
      <c r="J377" s="57">
        <f>J378+J416+J423</f>
        <v>260604056.66</v>
      </c>
      <c r="K377" s="75"/>
      <c r="L377" s="57">
        <f>L378+L416+L423</f>
        <v>296491219.52000004</v>
      </c>
      <c r="M377" s="72"/>
      <c r="N377" s="57">
        <f>N378+N416+N423</f>
        <v>296491219.52000004</v>
      </c>
      <c r="O377" s="73"/>
      <c r="P377" s="57">
        <f>P378+P416+P423</f>
        <v>282688700.14</v>
      </c>
      <c r="Q377" s="111"/>
      <c r="R377" s="57">
        <f>R378+R416+R423</f>
        <v>344887400.14</v>
      </c>
      <c r="S377" s="111"/>
      <c r="T377" s="57">
        <f>T378+T416+T423</f>
        <v>329536389.21</v>
      </c>
      <c r="U377" s="59"/>
      <c r="V377" s="58"/>
      <c r="W377" s="58"/>
      <c r="X377" s="58"/>
    </row>
    <row r="378" spans="1:24" ht="54.75" customHeight="1">
      <c r="A378" s="12" t="s">
        <v>0</v>
      </c>
      <c r="B378" s="73" t="s">
        <v>393</v>
      </c>
      <c r="C378" s="73" t="s">
        <v>395</v>
      </c>
      <c r="D378" s="73" t="s">
        <v>1</v>
      </c>
      <c r="E378" s="73"/>
      <c r="F378" s="57" t="e">
        <f>F379+F383+F386+F387+#REF!+#REF!+F389</f>
        <v>#REF!</v>
      </c>
      <c r="G378" s="73"/>
      <c r="H378" s="57">
        <f>H379+H383+H389+H393+H395+H397</f>
        <v>159567359</v>
      </c>
      <c r="I378" s="75"/>
      <c r="J378" s="57">
        <f>J379+J383+J389+J393+J395+J397+J406+J402+J409</f>
        <v>233991267.66</v>
      </c>
      <c r="K378" s="76"/>
      <c r="L378" s="57">
        <f>L379+L383+L389+L393+L395+L397+L406+L402+L409</f>
        <v>270248565.42</v>
      </c>
      <c r="M378" s="73"/>
      <c r="N378" s="57">
        <f>N379+N383+N389+N393+N395+N397+N406+N402+N409</f>
        <v>270248565.42</v>
      </c>
      <c r="O378" s="73"/>
      <c r="P378" s="57">
        <f>P379+P383+P389+P393+P395+P397+P406+P402+P409</f>
        <v>252334150.14</v>
      </c>
      <c r="Q378" s="112"/>
      <c r="R378" s="57">
        <f>R379+R383+R389+R393+R395+R397+R406+R402+R409+R413</f>
        <v>314532850.14</v>
      </c>
      <c r="S378" s="112"/>
      <c r="T378" s="57">
        <f>T379+T383+T389+T393+T395+T397+T406+T402+T409+T413</f>
        <v>298727729.32</v>
      </c>
      <c r="U378" s="61"/>
      <c r="V378" s="58"/>
      <c r="W378" s="58"/>
      <c r="X378" s="58"/>
    </row>
    <row r="379" spans="1:24" ht="81" customHeight="1">
      <c r="A379" s="12" t="s">
        <v>2</v>
      </c>
      <c r="B379" s="73" t="s">
        <v>393</v>
      </c>
      <c r="C379" s="73" t="s">
        <v>395</v>
      </c>
      <c r="D379" s="73" t="s">
        <v>3</v>
      </c>
      <c r="E379" s="73"/>
      <c r="F379" s="57">
        <v>0</v>
      </c>
      <c r="G379" s="97">
        <v>74461823</v>
      </c>
      <c r="H379" s="57">
        <f>H381+H380+H382</f>
        <v>49987000</v>
      </c>
      <c r="I379" s="75"/>
      <c r="J379" s="57">
        <f>J381+J380+J382</f>
        <v>0</v>
      </c>
      <c r="K379" s="75"/>
      <c r="L379" s="57">
        <f>L381+L380+L382</f>
        <v>0</v>
      </c>
      <c r="M379" s="73"/>
      <c r="N379" s="57">
        <f>N381+N380+N382</f>
        <v>0</v>
      </c>
      <c r="O379" s="73"/>
      <c r="P379" s="57">
        <f>P381+P380+P382</f>
        <v>0</v>
      </c>
      <c r="Q379" s="112"/>
      <c r="R379" s="57">
        <f>R381+R380+R382</f>
        <v>0</v>
      </c>
      <c r="S379" s="112"/>
      <c r="T379" s="57">
        <f>T381+T380+T382</f>
        <v>0</v>
      </c>
      <c r="U379" s="61"/>
      <c r="V379" s="58"/>
      <c r="W379" s="58"/>
      <c r="X379" s="58"/>
    </row>
    <row r="380" spans="1:24" s="1" customFormat="1" ht="19.5" customHeight="1">
      <c r="A380" s="12" t="s">
        <v>465</v>
      </c>
      <c r="B380" s="73" t="s">
        <v>393</v>
      </c>
      <c r="C380" s="73" t="s">
        <v>395</v>
      </c>
      <c r="D380" s="73" t="s">
        <v>3</v>
      </c>
      <c r="E380" s="73" t="s">
        <v>460</v>
      </c>
      <c r="F380" s="57"/>
      <c r="G380" s="97"/>
      <c r="H380" s="57">
        <f>48695000-10375580</f>
        <v>38319420</v>
      </c>
      <c r="I380" s="77">
        <v>-38319420</v>
      </c>
      <c r="J380" s="78">
        <f>H380+I380</f>
        <v>0</v>
      </c>
      <c r="K380" s="77"/>
      <c r="L380" s="78">
        <f>J380+K380</f>
        <v>0</v>
      </c>
      <c r="M380" s="73"/>
      <c r="N380" s="78">
        <f>L380+M380</f>
        <v>0</v>
      </c>
      <c r="O380" s="73"/>
      <c r="P380" s="78">
        <f>N380+O380</f>
        <v>0</v>
      </c>
      <c r="Q380" s="112"/>
      <c r="R380" s="78">
        <f>P380+Q380</f>
        <v>0</v>
      </c>
      <c r="S380" s="112"/>
      <c r="T380" s="78">
        <f>R380+S380</f>
        <v>0</v>
      </c>
      <c r="U380" s="61"/>
      <c r="V380" s="60"/>
      <c r="W380" s="60"/>
      <c r="X380" s="60"/>
    </row>
    <row r="381" spans="1:24" s="1" customFormat="1" ht="33.75" customHeight="1">
      <c r="A381" s="12" t="s">
        <v>491</v>
      </c>
      <c r="B381" s="73" t="s">
        <v>393</v>
      </c>
      <c r="C381" s="73" t="s">
        <v>395</v>
      </c>
      <c r="D381" s="73" t="s">
        <v>3</v>
      </c>
      <c r="E381" s="73" t="s">
        <v>463</v>
      </c>
      <c r="F381" s="57"/>
      <c r="G381" s="97"/>
      <c r="H381" s="57">
        <f>1292000-300000</f>
        <v>992000</v>
      </c>
      <c r="I381" s="77">
        <v>-992000</v>
      </c>
      <c r="J381" s="78">
        <f>H381+I381</f>
        <v>0</v>
      </c>
      <c r="K381" s="77"/>
      <c r="L381" s="78">
        <f>J381+K381</f>
        <v>0</v>
      </c>
      <c r="M381" s="73"/>
      <c r="N381" s="78">
        <f>L381+M381</f>
        <v>0</v>
      </c>
      <c r="O381" s="73"/>
      <c r="P381" s="78">
        <f>N381+O381</f>
        <v>0</v>
      </c>
      <c r="Q381" s="112"/>
      <c r="R381" s="78">
        <f>P381+Q381</f>
        <v>0</v>
      </c>
      <c r="S381" s="112"/>
      <c r="T381" s="78">
        <f>R381+S381</f>
        <v>0</v>
      </c>
      <c r="U381" s="61"/>
      <c r="V381" s="60"/>
      <c r="W381" s="60"/>
      <c r="X381" s="60"/>
    </row>
    <row r="382" spans="1:24" s="1" customFormat="1" ht="81" customHeight="1">
      <c r="A382" s="12" t="s">
        <v>60</v>
      </c>
      <c r="B382" s="73" t="s">
        <v>393</v>
      </c>
      <c r="C382" s="73" t="s">
        <v>395</v>
      </c>
      <c r="D382" s="73" t="s">
        <v>3</v>
      </c>
      <c r="E382" s="73" t="s">
        <v>474</v>
      </c>
      <c r="F382" s="57"/>
      <c r="G382" s="97"/>
      <c r="H382" s="57">
        <v>10675580</v>
      </c>
      <c r="I382" s="77">
        <v>-10675580</v>
      </c>
      <c r="J382" s="78">
        <f>H382+I382</f>
        <v>0</v>
      </c>
      <c r="K382" s="77"/>
      <c r="L382" s="78">
        <f>J382+K382</f>
        <v>0</v>
      </c>
      <c r="M382" s="73"/>
      <c r="N382" s="78">
        <f>L382+M382</f>
        <v>0</v>
      </c>
      <c r="O382" s="73"/>
      <c r="P382" s="78">
        <f>N382+O382</f>
        <v>0</v>
      </c>
      <c r="Q382" s="112"/>
      <c r="R382" s="78">
        <f>P382+Q382</f>
        <v>0</v>
      </c>
      <c r="S382" s="112"/>
      <c r="T382" s="78">
        <f>R382+S382</f>
        <v>0</v>
      </c>
      <c r="U382" s="61"/>
      <c r="V382" s="60"/>
      <c r="W382" s="60"/>
      <c r="X382" s="60"/>
    </row>
    <row r="383" spans="1:24" ht="81" customHeight="1">
      <c r="A383" s="12" t="s">
        <v>4</v>
      </c>
      <c r="B383" s="73" t="s">
        <v>393</v>
      </c>
      <c r="C383" s="73" t="s">
        <v>395</v>
      </c>
      <c r="D383" s="73" t="s">
        <v>5</v>
      </c>
      <c r="E383" s="73"/>
      <c r="F383" s="57">
        <v>0</v>
      </c>
      <c r="G383" s="97">
        <v>241110</v>
      </c>
      <c r="H383" s="57">
        <f>H384+H385+H386+H387</f>
        <v>57870173</v>
      </c>
      <c r="I383" s="75"/>
      <c r="J383" s="57">
        <f>J384+J385+J386+J387+J388</f>
        <v>57658573</v>
      </c>
      <c r="K383" s="75"/>
      <c r="L383" s="57">
        <f>L384+L385+L386+L387+L388</f>
        <v>57517896.2</v>
      </c>
      <c r="M383" s="73"/>
      <c r="N383" s="57">
        <f>N384+N385+N386+N387+N388</f>
        <v>57517896.2</v>
      </c>
      <c r="O383" s="73"/>
      <c r="P383" s="57">
        <f>P384+P385+P386+P387+P388</f>
        <v>57731386.83</v>
      </c>
      <c r="Q383" s="112"/>
      <c r="R383" s="57">
        <f>R384+R385+R386+R387+R388</f>
        <v>57731386.83</v>
      </c>
      <c r="S383" s="112"/>
      <c r="T383" s="57">
        <f>T384+T385+T386+T387+T388</f>
        <v>57494383.70999999</v>
      </c>
      <c r="U383" s="62"/>
      <c r="V383" s="58"/>
      <c r="W383" s="58"/>
      <c r="X383" s="58"/>
    </row>
    <row r="384" spans="1:24" ht="24.75" customHeight="1">
      <c r="A384" s="12" t="s">
        <v>465</v>
      </c>
      <c r="B384" s="73" t="s">
        <v>393</v>
      </c>
      <c r="C384" s="73" t="s">
        <v>395</v>
      </c>
      <c r="D384" s="73" t="s">
        <v>5</v>
      </c>
      <c r="E384" s="73" t="s">
        <v>460</v>
      </c>
      <c r="F384" s="57"/>
      <c r="G384" s="97"/>
      <c r="H384" s="57">
        <v>33500702</v>
      </c>
      <c r="I384" s="75"/>
      <c r="J384" s="76">
        <f>H384+I384</f>
        <v>33500702</v>
      </c>
      <c r="K384" s="75"/>
      <c r="L384" s="76">
        <f>J384+K384</f>
        <v>33500702</v>
      </c>
      <c r="M384" s="73"/>
      <c r="N384" s="76">
        <f>L384+M384</f>
        <v>33500702</v>
      </c>
      <c r="O384" s="73" t="s">
        <v>16</v>
      </c>
      <c r="P384" s="76">
        <f>N384+O384</f>
        <v>33907233.14</v>
      </c>
      <c r="Q384" s="112"/>
      <c r="R384" s="76">
        <f>P384+Q384</f>
        <v>33907233.14</v>
      </c>
      <c r="S384" s="112"/>
      <c r="T384" s="76">
        <f>R384+S384</f>
        <v>33907233.14</v>
      </c>
      <c r="U384" s="62"/>
      <c r="V384" s="58"/>
      <c r="W384" s="58"/>
      <c r="X384" s="58"/>
    </row>
    <row r="385" spans="1:24" ht="39" customHeight="1">
      <c r="A385" s="12" t="s">
        <v>466</v>
      </c>
      <c r="B385" s="73" t="s">
        <v>393</v>
      </c>
      <c r="C385" s="73" t="s">
        <v>395</v>
      </c>
      <c r="D385" s="73" t="s">
        <v>5</v>
      </c>
      <c r="E385" s="73" t="s">
        <v>461</v>
      </c>
      <c r="F385" s="57"/>
      <c r="G385" s="97"/>
      <c r="H385" s="57">
        <v>8280</v>
      </c>
      <c r="I385" s="75"/>
      <c r="J385" s="76">
        <f>H385+I385</f>
        <v>8280</v>
      </c>
      <c r="K385" s="75"/>
      <c r="L385" s="76">
        <f>J385+K385</f>
        <v>8280</v>
      </c>
      <c r="M385" s="73"/>
      <c r="N385" s="76">
        <f>L385+M385</f>
        <v>8280</v>
      </c>
      <c r="O385" s="73"/>
      <c r="P385" s="76">
        <f>N385+O385</f>
        <v>8280</v>
      </c>
      <c r="Q385" s="112"/>
      <c r="R385" s="76">
        <f>P385+Q385</f>
        <v>8280</v>
      </c>
      <c r="S385" s="112">
        <v>-3220</v>
      </c>
      <c r="T385" s="76">
        <f>R385+S385</f>
        <v>5060</v>
      </c>
      <c r="U385" s="62"/>
      <c r="V385" s="58"/>
      <c r="W385" s="58"/>
      <c r="X385" s="58"/>
    </row>
    <row r="386" spans="1:24" ht="48" customHeight="1">
      <c r="A386" s="12" t="s">
        <v>467</v>
      </c>
      <c r="B386" s="73" t="s">
        <v>393</v>
      </c>
      <c r="C386" s="73" t="s">
        <v>395</v>
      </c>
      <c r="D386" s="73" t="s">
        <v>5</v>
      </c>
      <c r="E386" s="73" t="s">
        <v>462</v>
      </c>
      <c r="F386" s="57">
        <v>0</v>
      </c>
      <c r="G386" s="97">
        <v>645005</v>
      </c>
      <c r="H386" s="57">
        <v>317207</v>
      </c>
      <c r="I386" s="75"/>
      <c r="J386" s="76">
        <f>H386+I386</f>
        <v>317207</v>
      </c>
      <c r="K386" s="75">
        <v>4688</v>
      </c>
      <c r="L386" s="76">
        <f>J386+K386</f>
        <v>321895</v>
      </c>
      <c r="M386" s="73"/>
      <c r="N386" s="76">
        <f>L386+M386</f>
        <v>321895</v>
      </c>
      <c r="O386" s="73" t="s">
        <v>17</v>
      </c>
      <c r="P386" s="76">
        <f>N386+O386</f>
        <v>321735</v>
      </c>
      <c r="Q386" s="112"/>
      <c r="R386" s="76">
        <f>P386+Q386</f>
        <v>321735</v>
      </c>
      <c r="S386" s="112"/>
      <c r="T386" s="76">
        <f>R386+S386</f>
        <v>321735</v>
      </c>
      <c r="U386" s="61"/>
      <c r="V386" s="58"/>
      <c r="W386" s="58"/>
      <c r="X386" s="58"/>
    </row>
    <row r="387" spans="1:24" ht="32.25" customHeight="1">
      <c r="A387" s="12" t="s">
        <v>491</v>
      </c>
      <c r="B387" s="73" t="s">
        <v>393</v>
      </c>
      <c r="C387" s="73" t="s">
        <v>395</v>
      </c>
      <c r="D387" s="73" t="s">
        <v>5</v>
      </c>
      <c r="E387" s="73" t="s">
        <v>463</v>
      </c>
      <c r="F387" s="57">
        <v>0</v>
      </c>
      <c r="G387" s="97">
        <v>25857607</v>
      </c>
      <c r="H387" s="57">
        <v>24043984</v>
      </c>
      <c r="I387" s="75">
        <f>-231600-10080</f>
        <v>-241680</v>
      </c>
      <c r="J387" s="76">
        <f>H387+I387</f>
        <v>23802304</v>
      </c>
      <c r="K387" s="75">
        <v>-145364.8</v>
      </c>
      <c r="L387" s="76">
        <f>J387+K387</f>
        <v>23656939.2</v>
      </c>
      <c r="M387" s="73"/>
      <c r="N387" s="76">
        <f>L387+M387</f>
        <v>23656939.2</v>
      </c>
      <c r="O387" s="73" t="s">
        <v>641</v>
      </c>
      <c r="P387" s="76">
        <f>N387+O387</f>
        <v>23456558.689999998</v>
      </c>
      <c r="Q387" s="112"/>
      <c r="R387" s="76">
        <f>P387+Q387</f>
        <v>23456558.689999998</v>
      </c>
      <c r="S387" s="112">
        <v>-243643.12</v>
      </c>
      <c r="T387" s="76">
        <f>R387+S387</f>
        <v>23212915.569999997</v>
      </c>
      <c r="U387" s="63"/>
      <c r="V387" s="58"/>
      <c r="W387" s="58"/>
      <c r="X387" s="58"/>
    </row>
    <row r="388" spans="1:24" ht="51" customHeight="1">
      <c r="A388" s="36" t="s">
        <v>39</v>
      </c>
      <c r="B388" s="73" t="s">
        <v>393</v>
      </c>
      <c r="C388" s="73" t="s">
        <v>395</v>
      </c>
      <c r="D388" s="73" t="s">
        <v>5</v>
      </c>
      <c r="E388" s="73" t="s">
        <v>470</v>
      </c>
      <c r="F388" s="57"/>
      <c r="G388" s="97"/>
      <c r="H388" s="57"/>
      <c r="I388" s="75">
        <f>20000+10080</f>
        <v>30080</v>
      </c>
      <c r="J388" s="76">
        <f>I388</f>
        <v>30080</v>
      </c>
      <c r="K388" s="75"/>
      <c r="L388" s="76">
        <f>J388+K388</f>
        <v>30080</v>
      </c>
      <c r="M388" s="73"/>
      <c r="N388" s="76">
        <f>L388+M388</f>
        <v>30080</v>
      </c>
      <c r="O388" s="73" t="s">
        <v>642</v>
      </c>
      <c r="P388" s="76">
        <f>N388+O388</f>
        <v>37580</v>
      </c>
      <c r="Q388" s="112"/>
      <c r="R388" s="76">
        <f>P388+Q388</f>
        <v>37580</v>
      </c>
      <c r="S388" s="112">
        <v>9860</v>
      </c>
      <c r="T388" s="76">
        <f>R388+S388</f>
        <v>47440</v>
      </c>
      <c r="U388" s="63"/>
      <c r="V388" s="58"/>
      <c r="W388" s="58"/>
      <c r="X388" s="58"/>
    </row>
    <row r="389" spans="1:24" ht="84.75" customHeight="1">
      <c r="A389" s="12" t="s">
        <v>6</v>
      </c>
      <c r="B389" s="73" t="s">
        <v>393</v>
      </c>
      <c r="C389" s="73" t="s">
        <v>395</v>
      </c>
      <c r="D389" s="73" t="s">
        <v>7</v>
      </c>
      <c r="E389" s="73"/>
      <c r="F389" s="57">
        <f>F393</f>
        <v>0</v>
      </c>
      <c r="G389" s="73"/>
      <c r="H389" s="57">
        <f>H390</f>
        <v>10558536</v>
      </c>
      <c r="I389" s="75"/>
      <c r="J389" s="57">
        <f>J390</f>
        <v>10558536</v>
      </c>
      <c r="K389" s="75"/>
      <c r="L389" s="57">
        <f>L390+L391</f>
        <v>10656510.56</v>
      </c>
      <c r="M389" s="73"/>
      <c r="N389" s="57">
        <f>N390+N391</f>
        <v>10656510.56</v>
      </c>
      <c r="O389" s="73"/>
      <c r="P389" s="57">
        <f>P390+P391+P392</f>
        <v>10847604.65</v>
      </c>
      <c r="Q389" s="112"/>
      <c r="R389" s="57">
        <f>R390+R391+R392</f>
        <v>10847604.65</v>
      </c>
      <c r="S389" s="112"/>
      <c r="T389" s="57">
        <f>T390+T391+T392</f>
        <v>10847604.65</v>
      </c>
      <c r="U389" s="63"/>
      <c r="V389" s="58"/>
      <c r="W389" s="58"/>
      <c r="X389" s="58"/>
    </row>
    <row r="390" spans="1:24" ht="65.25" customHeight="1">
      <c r="A390" s="12" t="s">
        <v>60</v>
      </c>
      <c r="B390" s="73" t="s">
        <v>393</v>
      </c>
      <c r="C390" s="73" t="s">
        <v>395</v>
      </c>
      <c r="D390" s="73" t="s">
        <v>7</v>
      </c>
      <c r="E390" s="73" t="s">
        <v>474</v>
      </c>
      <c r="F390" s="57"/>
      <c r="G390" s="73"/>
      <c r="H390" s="57">
        <v>10558536</v>
      </c>
      <c r="I390" s="75"/>
      <c r="J390" s="76">
        <f>H390+I390</f>
        <v>10558536</v>
      </c>
      <c r="K390" s="75"/>
      <c r="L390" s="76">
        <f>J390+K390</f>
        <v>10558536</v>
      </c>
      <c r="M390" s="73"/>
      <c r="N390" s="76">
        <f>L390+M390</f>
        <v>10558536</v>
      </c>
      <c r="O390" s="73"/>
      <c r="P390" s="76">
        <f>N390+O390</f>
        <v>10558536</v>
      </c>
      <c r="Q390" s="112"/>
      <c r="R390" s="76">
        <f>P390+Q390</f>
        <v>10558536</v>
      </c>
      <c r="S390" s="112"/>
      <c r="T390" s="76">
        <f>R390+S390</f>
        <v>10558536</v>
      </c>
      <c r="U390" s="63"/>
      <c r="V390" s="58"/>
      <c r="W390" s="58"/>
      <c r="X390" s="58"/>
    </row>
    <row r="391" spans="1:24" ht="34.5" customHeight="1">
      <c r="A391" s="12" t="s">
        <v>244</v>
      </c>
      <c r="B391" s="73" t="s">
        <v>393</v>
      </c>
      <c r="C391" s="73" t="s">
        <v>395</v>
      </c>
      <c r="D391" s="73" t="s">
        <v>7</v>
      </c>
      <c r="E391" s="73" t="s">
        <v>312</v>
      </c>
      <c r="F391" s="57"/>
      <c r="G391" s="73"/>
      <c r="H391" s="57"/>
      <c r="I391" s="75"/>
      <c r="J391" s="76"/>
      <c r="K391" s="75">
        <v>97974.56</v>
      </c>
      <c r="L391" s="76">
        <f>J391+K391</f>
        <v>97974.56</v>
      </c>
      <c r="M391" s="73"/>
      <c r="N391" s="76">
        <f>L391+M391</f>
        <v>97974.56</v>
      </c>
      <c r="O391" s="73"/>
      <c r="P391" s="76">
        <f>N391+O391</f>
        <v>97974.56</v>
      </c>
      <c r="Q391" s="112"/>
      <c r="R391" s="76">
        <f>P391+Q391</f>
        <v>97974.56</v>
      </c>
      <c r="S391" s="112"/>
      <c r="T391" s="76">
        <f>R391+S391</f>
        <v>97974.56</v>
      </c>
      <c r="U391" s="63"/>
      <c r="V391" s="58"/>
      <c r="W391" s="58"/>
      <c r="X391" s="58"/>
    </row>
    <row r="392" spans="1:24" ht="86.25" customHeight="1">
      <c r="A392" s="12" t="s">
        <v>19</v>
      </c>
      <c r="B392" s="73" t="s">
        <v>393</v>
      </c>
      <c r="C392" s="73" t="s">
        <v>395</v>
      </c>
      <c r="D392" s="73" t="s">
        <v>7</v>
      </c>
      <c r="E392" s="73" t="s">
        <v>42</v>
      </c>
      <c r="F392" s="57"/>
      <c r="G392" s="73"/>
      <c r="H392" s="57"/>
      <c r="I392" s="75"/>
      <c r="J392" s="76"/>
      <c r="K392" s="75"/>
      <c r="L392" s="76"/>
      <c r="M392" s="73"/>
      <c r="N392" s="76"/>
      <c r="O392" s="73" t="s">
        <v>18</v>
      </c>
      <c r="P392" s="76">
        <f>N392+O392</f>
        <v>191094.09</v>
      </c>
      <c r="Q392" s="112"/>
      <c r="R392" s="76">
        <f>P392+Q392</f>
        <v>191094.09</v>
      </c>
      <c r="S392" s="112"/>
      <c r="T392" s="76">
        <f>R392+S392</f>
        <v>191094.09</v>
      </c>
      <c r="U392" s="63"/>
      <c r="V392" s="58"/>
      <c r="W392" s="58"/>
      <c r="X392" s="58"/>
    </row>
    <row r="393" spans="1:24" ht="66.75" customHeight="1">
      <c r="A393" s="12" t="s">
        <v>8</v>
      </c>
      <c r="B393" s="73" t="s">
        <v>393</v>
      </c>
      <c r="C393" s="73" t="s">
        <v>395</v>
      </c>
      <c r="D393" s="73" t="s">
        <v>9</v>
      </c>
      <c r="E393" s="73"/>
      <c r="F393" s="57">
        <v>0</v>
      </c>
      <c r="G393" s="97">
        <v>179004</v>
      </c>
      <c r="H393" s="57">
        <f>H394</f>
        <v>10925900</v>
      </c>
      <c r="I393" s="75"/>
      <c r="J393" s="57">
        <f>J394</f>
        <v>10925900</v>
      </c>
      <c r="K393" s="75"/>
      <c r="L393" s="57">
        <f>L394</f>
        <v>10925900</v>
      </c>
      <c r="M393" s="73"/>
      <c r="N393" s="57">
        <f>N394</f>
        <v>10925900</v>
      </c>
      <c r="O393" s="73"/>
      <c r="P393" s="57">
        <f>P394</f>
        <v>10925900</v>
      </c>
      <c r="Q393" s="112"/>
      <c r="R393" s="57">
        <f>R394</f>
        <v>10925900</v>
      </c>
      <c r="S393" s="112"/>
      <c r="T393" s="57">
        <f>T394</f>
        <v>10836682.3</v>
      </c>
      <c r="U393" s="63"/>
      <c r="V393" s="58"/>
      <c r="W393" s="58"/>
      <c r="X393" s="58"/>
    </row>
    <row r="394" spans="1:24" ht="35.25" customHeight="1">
      <c r="A394" s="12" t="s">
        <v>491</v>
      </c>
      <c r="B394" s="73" t="s">
        <v>393</v>
      </c>
      <c r="C394" s="73" t="s">
        <v>395</v>
      </c>
      <c r="D394" s="73" t="s">
        <v>9</v>
      </c>
      <c r="E394" s="73" t="s">
        <v>463</v>
      </c>
      <c r="F394" s="57">
        <v>0</v>
      </c>
      <c r="G394" s="97">
        <v>12302600</v>
      </c>
      <c r="H394" s="57">
        <v>10925900</v>
      </c>
      <c r="I394" s="75"/>
      <c r="J394" s="76">
        <f>H394+I394</f>
        <v>10925900</v>
      </c>
      <c r="K394" s="75"/>
      <c r="L394" s="76">
        <f>J394+K394</f>
        <v>10925900</v>
      </c>
      <c r="M394" s="73"/>
      <c r="N394" s="76">
        <f>L394+M394</f>
        <v>10925900</v>
      </c>
      <c r="O394" s="73"/>
      <c r="P394" s="76">
        <f>N394+O394</f>
        <v>10925900</v>
      </c>
      <c r="Q394" s="112"/>
      <c r="R394" s="76">
        <f>P394+Q394</f>
        <v>10925900</v>
      </c>
      <c r="S394" s="112">
        <v>-89217.7</v>
      </c>
      <c r="T394" s="76">
        <f>R394+S394</f>
        <v>10836682.3</v>
      </c>
      <c r="U394" s="61"/>
      <c r="V394" s="58"/>
      <c r="W394" s="58"/>
      <c r="X394" s="58"/>
    </row>
    <row r="395" spans="1:24" ht="51" customHeight="1">
      <c r="A395" s="12" t="s">
        <v>10</v>
      </c>
      <c r="B395" s="73" t="s">
        <v>393</v>
      </c>
      <c r="C395" s="73" t="s">
        <v>395</v>
      </c>
      <c r="D395" s="73" t="s">
        <v>11</v>
      </c>
      <c r="E395" s="73"/>
      <c r="F395" s="57" t="e">
        <f>#REF!+#REF!+#REF!+F397+#REF!+#REF!</f>
        <v>#REF!</v>
      </c>
      <c r="G395" s="73"/>
      <c r="H395" s="57">
        <f>H396</f>
        <v>225750</v>
      </c>
      <c r="I395" s="75"/>
      <c r="J395" s="57">
        <f>J396</f>
        <v>225750</v>
      </c>
      <c r="K395" s="75"/>
      <c r="L395" s="57">
        <f>L396</f>
        <v>225750</v>
      </c>
      <c r="M395" s="73"/>
      <c r="N395" s="57">
        <f>N396</f>
        <v>225750</v>
      </c>
      <c r="O395" s="73"/>
      <c r="P395" s="57">
        <f>P396</f>
        <v>225750</v>
      </c>
      <c r="Q395" s="112"/>
      <c r="R395" s="57">
        <f>R396</f>
        <v>225750</v>
      </c>
      <c r="S395" s="112"/>
      <c r="T395" s="57">
        <f>T396</f>
        <v>225750</v>
      </c>
      <c r="U395" s="63"/>
      <c r="V395" s="58"/>
      <c r="W395" s="58"/>
      <c r="X395" s="58"/>
    </row>
    <row r="396" spans="1:24" ht="38.25" customHeight="1">
      <c r="A396" s="12" t="s">
        <v>491</v>
      </c>
      <c r="B396" s="73" t="s">
        <v>393</v>
      </c>
      <c r="C396" s="73" t="s">
        <v>395</v>
      </c>
      <c r="D396" s="73" t="s">
        <v>11</v>
      </c>
      <c r="E396" s="73" t="s">
        <v>463</v>
      </c>
      <c r="F396" s="57"/>
      <c r="G396" s="73"/>
      <c r="H396" s="57">
        <v>225750</v>
      </c>
      <c r="I396" s="75"/>
      <c r="J396" s="76">
        <f>H396+I396</f>
        <v>225750</v>
      </c>
      <c r="K396" s="75"/>
      <c r="L396" s="76">
        <f>J396+K396</f>
        <v>225750</v>
      </c>
      <c r="M396" s="73"/>
      <c r="N396" s="76">
        <f>L396+M396</f>
        <v>225750</v>
      </c>
      <c r="O396" s="73"/>
      <c r="P396" s="76">
        <f>N396+O396</f>
        <v>225750</v>
      </c>
      <c r="Q396" s="112"/>
      <c r="R396" s="76">
        <f>P396+Q396</f>
        <v>225750</v>
      </c>
      <c r="S396" s="112"/>
      <c r="T396" s="76">
        <f>R396+S396</f>
        <v>225750</v>
      </c>
      <c r="U396" s="61"/>
      <c r="V396" s="58"/>
      <c r="W396" s="58"/>
      <c r="X396" s="58"/>
    </row>
    <row r="397" spans="1:24" ht="56.25" customHeight="1">
      <c r="A397" s="35" t="s">
        <v>12</v>
      </c>
      <c r="B397" s="73" t="s">
        <v>393</v>
      </c>
      <c r="C397" s="73" t="s">
        <v>395</v>
      </c>
      <c r="D397" s="73" t="s">
        <v>13</v>
      </c>
      <c r="E397" s="73"/>
      <c r="F397" s="57" t="e">
        <f>F400+#REF!</f>
        <v>#REF!</v>
      </c>
      <c r="G397" s="73"/>
      <c r="H397" s="57">
        <f>H400</f>
        <v>30000000</v>
      </c>
      <c r="I397" s="75"/>
      <c r="J397" s="57">
        <f>J400+J401+J398</f>
        <v>32635508.66</v>
      </c>
      <c r="K397" s="75"/>
      <c r="L397" s="57">
        <f>L400+L401+L398+L399</f>
        <v>32635508.66</v>
      </c>
      <c r="M397" s="73"/>
      <c r="N397" s="57">
        <f>N400+N401+N398+N399</f>
        <v>32635508.66</v>
      </c>
      <c r="O397" s="73"/>
      <c r="P397" s="57">
        <f>P400+P401+P398+P399</f>
        <v>32635508.66</v>
      </c>
      <c r="Q397" s="112"/>
      <c r="R397" s="57">
        <f>R400+R401+R398+R399</f>
        <v>32635508.66</v>
      </c>
      <c r="S397" s="112"/>
      <c r="T397" s="57">
        <f>T400+T401+T398+T399</f>
        <v>32635508.66</v>
      </c>
      <c r="U397" s="63"/>
      <c r="V397" s="58"/>
      <c r="W397" s="58"/>
      <c r="X397" s="58"/>
    </row>
    <row r="398" spans="1:24" ht="32.25" customHeight="1">
      <c r="A398" s="12" t="s">
        <v>491</v>
      </c>
      <c r="B398" s="73" t="s">
        <v>393</v>
      </c>
      <c r="C398" s="73" t="s">
        <v>395</v>
      </c>
      <c r="D398" s="73" t="s">
        <v>13</v>
      </c>
      <c r="E398" s="73" t="s">
        <v>463</v>
      </c>
      <c r="F398" s="57"/>
      <c r="G398" s="73"/>
      <c r="H398" s="57"/>
      <c r="I398" s="75">
        <v>8035508.66</v>
      </c>
      <c r="J398" s="57">
        <f>I398</f>
        <v>8035508.66</v>
      </c>
      <c r="K398" s="75">
        <v>-8035508.66</v>
      </c>
      <c r="L398" s="76">
        <f>J398+K398</f>
        <v>0</v>
      </c>
      <c r="M398" s="73"/>
      <c r="N398" s="78">
        <f>L398+M398</f>
        <v>0</v>
      </c>
      <c r="O398" s="73"/>
      <c r="P398" s="78">
        <f>N398+O398</f>
        <v>0</v>
      </c>
      <c r="Q398" s="112"/>
      <c r="R398" s="78">
        <f>P398+Q398</f>
        <v>0</v>
      </c>
      <c r="S398" s="112"/>
      <c r="T398" s="78">
        <f>R398+S398</f>
        <v>0</v>
      </c>
      <c r="U398" s="61"/>
      <c r="V398" s="58"/>
      <c r="W398" s="58"/>
      <c r="X398" s="58"/>
    </row>
    <row r="399" spans="1:24" ht="49.5" customHeight="1">
      <c r="A399" s="68" t="s">
        <v>62</v>
      </c>
      <c r="B399" s="73" t="s">
        <v>393</v>
      </c>
      <c r="C399" s="73" t="s">
        <v>395</v>
      </c>
      <c r="D399" s="73" t="s">
        <v>13</v>
      </c>
      <c r="E399" s="73" t="s">
        <v>267</v>
      </c>
      <c r="F399" s="57"/>
      <c r="G399" s="73"/>
      <c r="H399" s="57"/>
      <c r="I399" s="75"/>
      <c r="J399" s="57"/>
      <c r="K399" s="75">
        <v>8035508.66</v>
      </c>
      <c r="L399" s="76">
        <f>K399</f>
        <v>8035508.66</v>
      </c>
      <c r="M399" s="73"/>
      <c r="N399" s="78">
        <f>L399+M399</f>
        <v>8035508.66</v>
      </c>
      <c r="O399" s="73"/>
      <c r="P399" s="78">
        <f>N399+O399</f>
        <v>8035508.66</v>
      </c>
      <c r="Q399" s="112"/>
      <c r="R399" s="78">
        <f>P399+Q399</f>
        <v>8035508.66</v>
      </c>
      <c r="S399" s="112">
        <v>7538017.34</v>
      </c>
      <c r="T399" s="78">
        <f>R399+S399</f>
        <v>15573526</v>
      </c>
      <c r="U399" s="61"/>
      <c r="V399" s="58"/>
      <c r="W399" s="58"/>
      <c r="X399" s="58"/>
    </row>
    <row r="400" spans="1:24" ht="84.75" customHeight="1">
      <c r="A400" s="35" t="s">
        <v>61</v>
      </c>
      <c r="B400" s="73" t="s">
        <v>393</v>
      </c>
      <c r="C400" s="73" t="s">
        <v>395</v>
      </c>
      <c r="D400" s="73" t="s">
        <v>13</v>
      </c>
      <c r="E400" s="73" t="s">
        <v>14</v>
      </c>
      <c r="F400" s="57">
        <v>0</v>
      </c>
      <c r="G400" s="73"/>
      <c r="H400" s="57">
        <v>30000000</v>
      </c>
      <c r="I400" s="75">
        <v>-8035508.66</v>
      </c>
      <c r="J400" s="76">
        <f>H400+I400</f>
        <v>21964491.34</v>
      </c>
      <c r="K400" s="75"/>
      <c r="L400" s="76">
        <f>J400+K400</f>
        <v>21964491.34</v>
      </c>
      <c r="M400" s="73"/>
      <c r="N400" s="76">
        <f>L400+M400</f>
        <v>21964491.34</v>
      </c>
      <c r="O400" s="73"/>
      <c r="P400" s="76">
        <f>N400+O400</f>
        <v>21964491.34</v>
      </c>
      <c r="Q400" s="112"/>
      <c r="R400" s="76">
        <f>P400+Q400</f>
        <v>21964491.34</v>
      </c>
      <c r="S400" s="112">
        <v>-4902508.68</v>
      </c>
      <c r="T400" s="76">
        <f>R400+S400</f>
        <v>17061982.66</v>
      </c>
      <c r="U400" s="63"/>
      <c r="V400" s="58"/>
      <c r="W400" s="58"/>
      <c r="X400" s="58"/>
    </row>
    <row r="401" spans="1:24" ht="31.5" customHeight="1">
      <c r="A401" s="35" t="s">
        <v>244</v>
      </c>
      <c r="B401" s="73" t="s">
        <v>393</v>
      </c>
      <c r="C401" s="73" t="s">
        <v>395</v>
      </c>
      <c r="D401" s="73" t="s">
        <v>13</v>
      </c>
      <c r="E401" s="73" t="s">
        <v>312</v>
      </c>
      <c r="F401" s="57"/>
      <c r="G401" s="73"/>
      <c r="H401" s="57"/>
      <c r="I401" s="75">
        <v>2635508.66</v>
      </c>
      <c r="J401" s="76">
        <f>I401</f>
        <v>2635508.66</v>
      </c>
      <c r="K401" s="75"/>
      <c r="L401" s="78">
        <f>J401+K401</f>
        <v>2635508.66</v>
      </c>
      <c r="M401" s="73"/>
      <c r="N401" s="78">
        <f>L401+M401</f>
        <v>2635508.66</v>
      </c>
      <c r="O401" s="73"/>
      <c r="P401" s="78">
        <f>N401+O401</f>
        <v>2635508.66</v>
      </c>
      <c r="Q401" s="112"/>
      <c r="R401" s="78">
        <f>P401+Q401</f>
        <v>2635508.66</v>
      </c>
      <c r="S401" s="112">
        <v>-2635508.66</v>
      </c>
      <c r="T401" s="78">
        <f>R401+S401</f>
        <v>0</v>
      </c>
      <c r="U401" s="61"/>
      <c r="V401" s="58"/>
      <c r="W401" s="58"/>
      <c r="X401" s="58"/>
    </row>
    <row r="402" spans="1:24" s="1" customFormat="1" ht="46.5" customHeight="1">
      <c r="A402" s="35" t="s">
        <v>309</v>
      </c>
      <c r="B402" s="73" t="s">
        <v>393</v>
      </c>
      <c r="C402" s="73" t="s">
        <v>395</v>
      </c>
      <c r="D402" s="73" t="s">
        <v>310</v>
      </c>
      <c r="E402" s="73"/>
      <c r="F402" s="57"/>
      <c r="G402" s="73"/>
      <c r="H402" s="57"/>
      <c r="I402" s="77"/>
      <c r="J402" s="78">
        <f>J405+J403</f>
        <v>72000000</v>
      </c>
      <c r="K402" s="77"/>
      <c r="L402" s="78">
        <f>L405+L403+L404</f>
        <v>108300000</v>
      </c>
      <c r="M402" s="73"/>
      <c r="N402" s="78">
        <f>N405+N403+N404</f>
        <v>108300000</v>
      </c>
      <c r="O402" s="73"/>
      <c r="P402" s="78">
        <f>P405+P403+P404</f>
        <v>108300000</v>
      </c>
      <c r="Q402" s="112"/>
      <c r="R402" s="78">
        <f>R405+R403+R404</f>
        <v>108300000</v>
      </c>
      <c r="S402" s="112"/>
      <c r="T402" s="78">
        <f>T405+T403+T404</f>
        <v>92821100</v>
      </c>
      <c r="U402" s="61"/>
      <c r="V402" s="60"/>
      <c r="W402" s="60"/>
      <c r="X402" s="60"/>
    </row>
    <row r="403" spans="1:24" s="1" customFormat="1" ht="61.5" customHeight="1">
      <c r="A403" s="35" t="s">
        <v>331</v>
      </c>
      <c r="B403" s="73" t="s">
        <v>393</v>
      </c>
      <c r="C403" s="73" t="s">
        <v>395</v>
      </c>
      <c r="D403" s="73" t="s">
        <v>329</v>
      </c>
      <c r="E403" s="73" t="s">
        <v>330</v>
      </c>
      <c r="F403" s="57"/>
      <c r="G403" s="73"/>
      <c r="H403" s="57"/>
      <c r="I403" s="77">
        <v>18000000</v>
      </c>
      <c r="J403" s="78">
        <f>I403</f>
        <v>18000000</v>
      </c>
      <c r="K403" s="77">
        <v>-18000000</v>
      </c>
      <c r="L403" s="78">
        <f>J403+K403</f>
        <v>0</v>
      </c>
      <c r="M403" s="73"/>
      <c r="N403" s="78">
        <f>L403+M403</f>
        <v>0</v>
      </c>
      <c r="O403" s="73"/>
      <c r="P403" s="78">
        <f>N403+O403</f>
        <v>0</v>
      </c>
      <c r="Q403" s="112"/>
      <c r="R403" s="78">
        <f>P403+Q403</f>
        <v>0</v>
      </c>
      <c r="S403" s="112"/>
      <c r="T403" s="78">
        <f>R403+S403</f>
        <v>0</v>
      </c>
      <c r="U403" s="63"/>
      <c r="V403" s="60"/>
      <c r="W403" s="60"/>
      <c r="X403" s="60"/>
    </row>
    <row r="404" spans="1:24" s="1" customFormat="1" ht="51" customHeight="1">
      <c r="A404" s="35" t="s">
        <v>62</v>
      </c>
      <c r="B404" s="73" t="s">
        <v>393</v>
      </c>
      <c r="C404" s="73" t="s">
        <v>395</v>
      </c>
      <c r="D404" s="73" t="s">
        <v>310</v>
      </c>
      <c r="E404" s="73" t="s">
        <v>267</v>
      </c>
      <c r="F404" s="57"/>
      <c r="G404" s="73"/>
      <c r="H404" s="57"/>
      <c r="I404" s="77"/>
      <c r="J404" s="78"/>
      <c r="K404" s="77">
        <f>18000000+30000000</f>
        <v>48000000</v>
      </c>
      <c r="L404" s="78">
        <f>J404+K404</f>
        <v>48000000</v>
      </c>
      <c r="M404" s="73"/>
      <c r="N404" s="78">
        <f>L404+M404</f>
        <v>48000000</v>
      </c>
      <c r="O404" s="73" t="s">
        <v>24</v>
      </c>
      <c r="P404" s="78">
        <f>N404+O404</f>
        <v>48600000</v>
      </c>
      <c r="Q404" s="112"/>
      <c r="R404" s="78">
        <f>P404+Q404</f>
        <v>48600000</v>
      </c>
      <c r="S404" s="112">
        <v>-20992100</v>
      </c>
      <c r="T404" s="78">
        <f>R404+S404</f>
        <v>27607900</v>
      </c>
      <c r="U404" s="63"/>
      <c r="V404" s="60"/>
      <c r="W404" s="60"/>
      <c r="X404" s="60"/>
    </row>
    <row r="405" spans="1:24" s="1" customFormat="1" ht="80.25" customHeight="1">
      <c r="A405" s="35" t="s">
        <v>61</v>
      </c>
      <c r="B405" s="73" t="s">
        <v>393</v>
      </c>
      <c r="C405" s="73" t="s">
        <v>395</v>
      </c>
      <c r="D405" s="73" t="s">
        <v>310</v>
      </c>
      <c r="E405" s="73" t="s">
        <v>14</v>
      </c>
      <c r="F405" s="57"/>
      <c r="G405" s="73"/>
      <c r="H405" s="57"/>
      <c r="I405" s="77">
        <v>54000000</v>
      </c>
      <c r="J405" s="78">
        <f>I405</f>
        <v>54000000</v>
      </c>
      <c r="K405" s="77">
        <v>6300000</v>
      </c>
      <c r="L405" s="78">
        <f>J405+K405</f>
        <v>60300000</v>
      </c>
      <c r="M405" s="73"/>
      <c r="N405" s="78">
        <f>L405+M405</f>
        <v>60300000</v>
      </c>
      <c r="O405" s="73" t="s">
        <v>23</v>
      </c>
      <c r="P405" s="78">
        <f>N405+O405</f>
        <v>59700000</v>
      </c>
      <c r="Q405" s="112"/>
      <c r="R405" s="78">
        <f>P405+Q405</f>
        <v>59700000</v>
      </c>
      <c r="S405" s="112">
        <v>5513200</v>
      </c>
      <c r="T405" s="78">
        <f>R405+S405</f>
        <v>65213200</v>
      </c>
      <c r="U405" s="63"/>
      <c r="V405" s="60"/>
      <c r="W405" s="60"/>
      <c r="X405" s="60"/>
    </row>
    <row r="406" spans="1:24" s="1" customFormat="1" ht="64.5" customHeight="1">
      <c r="A406" s="35" t="s">
        <v>308</v>
      </c>
      <c r="B406" s="73" t="s">
        <v>393</v>
      </c>
      <c r="C406" s="73" t="s">
        <v>395</v>
      </c>
      <c r="D406" s="73" t="s">
        <v>289</v>
      </c>
      <c r="E406" s="73"/>
      <c r="F406" s="57"/>
      <c r="G406" s="73"/>
      <c r="H406" s="57"/>
      <c r="I406" s="77"/>
      <c r="J406" s="78">
        <f>J407+J408</f>
        <v>48695000</v>
      </c>
      <c r="K406" s="77"/>
      <c r="L406" s="78">
        <f>L407+L408</f>
        <v>48695000</v>
      </c>
      <c r="M406" s="73"/>
      <c r="N406" s="78">
        <f>N407+N408</f>
        <v>48695000</v>
      </c>
      <c r="O406" s="73"/>
      <c r="P406" s="78">
        <f>P407+P408</f>
        <v>30958000</v>
      </c>
      <c r="Q406" s="112"/>
      <c r="R406" s="78">
        <f>R407+R408</f>
        <v>30958000</v>
      </c>
      <c r="S406" s="112"/>
      <c r="T406" s="78">
        <f>T407+T408</f>
        <v>30958000</v>
      </c>
      <c r="U406" s="62"/>
      <c r="V406" s="60"/>
      <c r="W406" s="60"/>
      <c r="X406" s="60"/>
    </row>
    <row r="407" spans="1:24" s="1" customFormat="1" ht="21.75" customHeight="1">
      <c r="A407" s="12" t="s">
        <v>465</v>
      </c>
      <c r="B407" s="73" t="s">
        <v>393</v>
      </c>
      <c r="C407" s="73" t="s">
        <v>395</v>
      </c>
      <c r="D407" s="73" t="s">
        <v>289</v>
      </c>
      <c r="E407" s="73" t="s">
        <v>460</v>
      </c>
      <c r="F407" s="57"/>
      <c r="G407" s="73"/>
      <c r="H407" s="57"/>
      <c r="I407" s="77">
        <v>35447476</v>
      </c>
      <c r="J407" s="78">
        <f>I407</f>
        <v>35447476</v>
      </c>
      <c r="K407" s="77"/>
      <c r="L407" s="78">
        <f>J407+K407</f>
        <v>35447476</v>
      </c>
      <c r="M407" s="73"/>
      <c r="N407" s="78">
        <f>L407+M407</f>
        <v>35447476</v>
      </c>
      <c r="O407" s="73" t="s">
        <v>20</v>
      </c>
      <c r="P407" s="78">
        <f>N407+O407</f>
        <v>20293023</v>
      </c>
      <c r="Q407" s="112"/>
      <c r="R407" s="78">
        <f>P407+Q407</f>
        <v>20293023</v>
      </c>
      <c r="S407" s="112"/>
      <c r="T407" s="78">
        <f>R407+S407</f>
        <v>20293023</v>
      </c>
      <c r="U407" s="62"/>
      <c r="V407" s="60"/>
      <c r="W407" s="60"/>
      <c r="X407" s="60"/>
    </row>
    <row r="408" spans="1:24" s="1" customFormat="1" ht="84" customHeight="1">
      <c r="A408" s="12" t="s">
        <v>60</v>
      </c>
      <c r="B408" s="73" t="s">
        <v>393</v>
      </c>
      <c r="C408" s="73" t="s">
        <v>395</v>
      </c>
      <c r="D408" s="73" t="s">
        <v>289</v>
      </c>
      <c r="E408" s="73" t="s">
        <v>474</v>
      </c>
      <c r="F408" s="57"/>
      <c r="G408" s="73"/>
      <c r="H408" s="57"/>
      <c r="I408" s="77">
        <v>13247524</v>
      </c>
      <c r="J408" s="78">
        <f>I408</f>
        <v>13247524</v>
      </c>
      <c r="K408" s="77"/>
      <c r="L408" s="78">
        <f>J408+K408</f>
        <v>13247524</v>
      </c>
      <c r="M408" s="73"/>
      <c r="N408" s="78">
        <f>L408+M408</f>
        <v>13247524</v>
      </c>
      <c r="O408" s="73" t="s">
        <v>21</v>
      </c>
      <c r="P408" s="78">
        <f>N408+O408</f>
        <v>10664977</v>
      </c>
      <c r="Q408" s="112"/>
      <c r="R408" s="78">
        <f>P408+Q408</f>
        <v>10664977</v>
      </c>
      <c r="S408" s="112"/>
      <c r="T408" s="78">
        <f>R408+S408</f>
        <v>10664977</v>
      </c>
      <c r="U408" s="62"/>
      <c r="V408" s="60"/>
      <c r="W408" s="60"/>
      <c r="X408" s="60"/>
    </row>
    <row r="409" spans="1:24" s="1" customFormat="1" ht="150" customHeight="1">
      <c r="A409" s="12" t="s">
        <v>291</v>
      </c>
      <c r="B409" s="73" t="s">
        <v>393</v>
      </c>
      <c r="C409" s="73" t="s">
        <v>395</v>
      </c>
      <c r="D409" s="73" t="s">
        <v>290</v>
      </c>
      <c r="E409" s="73"/>
      <c r="F409" s="57"/>
      <c r="G409" s="73"/>
      <c r="H409" s="57"/>
      <c r="I409" s="77"/>
      <c r="J409" s="78">
        <f>J410+J411+J412</f>
        <v>1292000</v>
      </c>
      <c r="K409" s="77"/>
      <c r="L409" s="78">
        <f>L410+L411+L412</f>
        <v>1292000</v>
      </c>
      <c r="M409" s="77"/>
      <c r="N409" s="78">
        <f>N410+N411+N412</f>
        <v>1292000</v>
      </c>
      <c r="O409" s="77"/>
      <c r="P409" s="78">
        <f>P410+P411+P412</f>
        <v>710000</v>
      </c>
      <c r="Q409" s="110"/>
      <c r="R409" s="78">
        <f>R410+R411+R412</f>
        <v>710000</v>
      </c>
      <c r="S409" s="110"/>
      <c r="T409" s="78">
        <f>T410+T411+T412</f>
        <v>710000</v>
      </c>
      <c r="U409" s="60"/>
      <c r="V409" s="60"/>
      <c r="W409" s="60"/>
      <c r="X409" s="60"/>
    </row>
    <row r="410" spans="1:24" s="1" customFormat="1" ht="50.25" customHeight="1">
      <c r="A410" s="12" t="s">
        <v>467</v>
      </c>
      <c r="B410" s="73" t="s">
        <v>393</v>
      </c>
      <c r="C410" s="73" t="s">
        <v>395</v>
      </c>
      <c r="D410" s="73" t="s">
        <v>290</v>
      </c>
      <c r="E410" s="73" t="s">
        <v>462</v>
      </c>
      <c r="F410" s="57"/>
      <c r="G410" s="73"/>
      <c r="H410" s="57"/>
      <c r="I410" s="77">
        <v>220000</v>
      </c>
      <c r="J410" s="78">
        <f>I410</f>
        <v>220000</v>
      </c>
      <c r="K410" s="77"/>
      <c r="L410" s="78">
        <f>J410+K410</f>
        <v>220000</v>
      </c>
      <c r="M410" s="77"/>
      <c r="N410" s="78">
        <f>L410+M410</f>
        <v>220000</v>
      </c>
      <c r="O410" s="77">
        <v>-116000</v>
      </c>
      <c r="P410" s="78">
        <f>N410+O410</f>
        <v>104000</v>
      </c>
      <c r="Q410" s="110"/>
      <c r="R410" s="78">
        <f>P410+Q410</f>
        <v>104000</v>
      </c>
      <c r="S410" s="110">
        <v>-23040</v>
      </c>
      <c r="T410" s="78">
        <f>R410+S410</f>
        <v>80960</v>
      </c>
      <c r="U410" s="60"/>
      <c r="V410" s="60"/>
      <c r="W410" s="60"/>
      <c r="X410" s="60"/>
    </row>
    <row r="411" spans="1:24" s="1" customFormat="1" ht="33" customHeight="1">
      <c r="A411" s="12" t="s">
        <v>468</v>
      </c>
      <c r="B411" s="73" t="s">
        <v>393</v>
      </c>
      <c r="C411" s="73" t="s">
        <v>395</v>
      </c>
      <c r="D411" s="73" t="s">
        <v>290</v>
      </c>
      <c r="E411" s="73" t="s">
        <v>463</v>
      </c>
      <c r="F411" s="57"/>
      <c r="G411" s="73"/>
      <c r="H411" s="57"/>
      <c r="I411" s="77">
        <v>652262</v>
      </c>
      <c r="J411" s="78">
        <f>I411</f>
        <v>652262</v>
      </c>
      <c r="K411" s="77"/>
      <c r="L411" s="78">
        <f>J411+K411</f>
        <v>652262</v>
      </c>
      <c r="M411" s="77"/>
      <c r="N411" s="78">
        <f>L411+M411</f>
        <v>652262</v>
      </c>
      <c r="O411" s="77">
        <v>-259862</v>
      </c>
      <c r="P411" s="78">
        <f>N411+O411</f>
        <v>392400</v>
      </c>
      <c r="Q411" s="110"/>
      <c r="R411" s="78">
        <f>P411+Q411</f>
        <v>392400</v>
      </c>
      <c r="S411" s="110">
        <v>23040</v>
      </c>
      <c r="T411" s="78">
        <f>R411+S411</f>
        <v>415440</v>
      </c>
      <c r="U411" s="60"/>
      <c r="V411" s="60"/>
      <c r="W411" s="60"/>
      <c r="X411" s="60"/>
    </row>
    <row r="412" spans="1:24" s="1" customFormat="1" ht="50.25" customHeight="1">
      <c r="A412" s="12" t="s">
        <v>60</v>
      </c>
      <c r="B412" s="73" t="s">
        <v>393</v>
      </c>
      <c r="C412" s="73" t="s">
        <v>395</v>
      </c>
      <c r="D412" s="73" t="s">
        <v>290</v>
      </c>
      <c r="E412" s="73" t="s">
        <v>474</v>
      </c>
      <c r="F412" s="57"/>
      <c r="G412" s="73"/>
      <c r="H412" s="57"/>
      <c r="I412" s="77">
        <v>419738</v>
      </c>
      <c r="J412" s="78">
        <f>I412</f>
        <v>419738</v>
      </c>
      <c r="K412" s="77"/>
      <c r="L412" s="78">
        <f>J412+K412</f>
        <v>419738</v>
      </c>
      <c r="M412" s="77"/>
      <c r="N412" s="78">
        <f>L412+M412</f>
        <v>419738</v>
      </c>
      <c r="O412" s="77">
        <v>-206138</v>
      </c>
      <c r="P412" s="78">
        <f>N412+O412</f>
        <v>213600</v>
      </c>
      <c r="Q412" s="110"/>
      <c r="R412" s="78">
        <f>P412+Q412</f>
        <v>213600</v>
      </c>
      <c r="S412" s="110"/>
      <c r="T412" s="78">
        <f>R412+S412</f>
        <v>213600</v>
      </c>
      <c r="U412" s="60"/>
      <c r="V412" s="60"/>
      <c r="W412" s="60"/>
      <c r="X412" s="60"/>
    </row>
    <row r="413" spans="1:24" s="1" customFormat="1" ht="69.75" customHeight="1">
      <c r="A413" s="12" t="s">
        <v>281</v>
      </c>
      <c r="B413" s="73" t="s">
        <v>393</v>
      </c>
      <c r="C413" s="73" t="s">
        <v>395</v>
      </c>
      <c r="D413" s="73" t="s">
        <v>283</v>
      </c>
      <c r="E413" s="73"/>
      <c r="F413" s="57"/>
      <c r="G413" s="73"/>
      <c r="H413" s="57"/>
      <c r="I413" s="77"/>
      <c r="J413" s="78"/>
      <c r="K413" s="77"/>
      <c r="L413" s="78"/>
      <c r="M413" s="77"/>
      <c r="N413" s="78"/>
      <c r="O413" s="77"/>
      <c r="P413" s="78"/>
      <c r="Q413" s="110"/>
      <c r="R413" s="78">
        <f>R414+R415</f>
        <v>62198700</v>
      </c>
      <c r="S413" s="110"/>
      <c r="T413" s="78">
        <f>T414+T415</f>
        <v>62198700</v>
      </c>
      <c r="U413" s="60"/>
      <c r="V413" s="60"/>
      <c r="W413" s="60"/>
      <c r="X413" s="60"/>
    </row>
    <row r="414" spans="1:24" s="1" customFormat="1" ht="50.25" customHeight="1">
      <c r="A414" s="12" t="s">
        <v>62</v>
      </c>
      <c r="B414" s="73" t="s">
        <v>393</v>
      </c>
      <c r="C414" s="73" t="s">
        <v>395</v>
      </c>
      <c r="D414" s="73" t="s">
        <v>283</v>
      </c>
      <c r="E414" s="73" t="s">
        <v>267</v>
      </c>
      <c r="F414" s="57"/>
      <c r="G414" s="73"/>
      <c r="H414" s="57"/>
      <c r="I414" s="77"/>
      <c r="J414" s="78"/>
      <c r="K414" s="77"/>
      <c r="L414" s="78"/>
      <c r="M414" s="77"/>
      <c r="N414" s="78"/>
      <c r="O414" s="77"/>
      <c r="P414" s="78"/>
      <c r="Q414" s="110">
        <v>23324500</v>
      </c>
      <c r="R414" s="78">
        <f>P414+Q414</f>
        <v>23324500</v>
      </c>
      <c r="S414" s="110"/>
      <c r="T414" s="78">
        <f>R414+S414</f>
        <v>23324500</v>
      </c>
      <c r="U414" s="60"/>
      <c r="V414" s="60"/>
      <c r="W414" s="60"/>
      <c r="X414" s="60"/>
    </row>
    <row r="415" spans="1:24" s="1" customFormat="1" ht="50.25" customHeight="1">
      <c r="A415" s="12" t="s">
        <v>282</v>
      </c>
      <c r="B415" s="73" t="s">
        <v>393</v>
      </c>
      <c r="C415" s="73" t="s">
        <v>395</v>
      </c>
      <c r="D415" s="73" t="s">
        <v>283</v>
      </c>
      <c r="E415" s="73" t="s">
        <v>14</v>
      </c>
      <c r="F415" s="57"/>
      <c r="G415" s="73"/>
      <c r="H415" s="57"/>
      <c r="I415" s="77"/>
      <c r="J415" s="78"/>
      <c r="K415" s="77"/>
      <c r="L415" s="78"/>
      <c r="M415" s="77"/>
      <c r="N415" s="78"/>
      <c r="O415" s="77"/>
      <c r="P415" s="78"/>
      <c r="Q415" s="110">
        <v>38874200</v>
      </c>
      <c r="R415" s="78">
        <f>P415+Q415</f>
        <v>38874200</v>
      </c>
      <c r="S415" s="110"/>
      <c r="T415" s="78">
        <f>R415+S415</f>
        <v>38874200</v>
      </c>
      <c r="U415" s="60"/>
      <c r="V415" s="60"/>
      <c r="W415" s="60"/>
      <c r="X415" s="60"/>
    </row>
    <row r="416" spans="1:24" s="1" customFormat="1" ht="50.25" customHeight="1">
      <c r="A416" s="12" t="s">
        <v>308</v>
      </c>
      <c r="B416" s="73" t="s">
        <v>393</v>
      </c>
      <c r="C416" s="73" t="s">
        <v>395</v>
      </c>
      <c r="D416" s="73" t="s">
        <v>28</v>
      </c>
      <c r="E416" s="73"/>
      <c r="F416" s="57"/>
      <c r="G416" s="73"/>
      <c r="H416" s="57"/>
      <c r="I416" s="77"/>
      <c r="J416" s="78">
        <f>J417</f>
        <v>23063789</v>
      </c>
      <c r="K416" s="77"/>
      <c r="L416" s="78">
        <f>L417</f>
        <v>23063789</v>
      </c>
      <c r="M416" s="77"/>
      <c r="N416" s="78">
        <f>N417</f>
        <v>23063789</v>
      </c>
      <c r="O416" s="77"/>
      <c r="P416" s="78">
        <f>P417+P420</f>
        <v>26965550</v>
      </c>
      <c r="Q416" s="110"/>
      <c r="R416" s="78">
        <f>R417+R420</f>
        <v>26965550</v>
      </c>
      <c r="S416" s="110"/>
      <c r="T416" s="78">
        <f>T417+T420</f>
        <v>26965550</v>
      </c>
      <c r="U416" s="60"/>
      <c r="V416" s="60"/>
      <c r="W416" s="60"/>
      <c r="X416" s="60"/>
    </row>
    <row r="417" spans="1:24" s="1" customFormat="1" ht="210" customHeight="1">
      <c r="A417" s="12" t="s">
        <v>298</v>
      </c>
      <c r="B417" s="73" t="s">
        <v>393</v>
      </c>
      <c r="C417" s="73" t="s">
        <v>395</v>
      </c>
      <c r="D417" s="73" t="s">
        <v>292</v>
      </c>
      <c r="E417" s="73"/>
      <c r="F417" s="57"/>
      <c r="G417" s="73"/>
      <c r="H417" s="57"/>
      <c r="I417" s="77"/>
      <c r="J417" s="78">
        <f>J418</f>
        <v>23063789</v>
      </c>
      <c r="K417" s="77"/>
      <c r="L417" s="78">
        <f>L418</f>
        <v>23063789</v>
      </c>
      <c r="M417" s="77"/>
      <c r="N417" s="78">
        <f>N418</f>
        <v>23063789</v>
      </c>
      <c r="O417" s="77"/>
      <c r="P417" s="78">
        <f>P418+P419</f>
        <v>26383550</v>
      </c>
      <c r="Q417" s="110"/>
      <c r="R417" s="78">
        <f>R418+R419</f>
        <v>26383550</v>
      </c>
      <c r="S417" s="110"/>
      <c r="T417" s="78">
        <f>T418+T419</f>
        <v>26383550</v>
      </c>
      <c r="U417" s="60"/>
      <c r="V417" s="60"/>
      <c r="W417" s="60"/>
      <c r="X417" s="60"/>
    </row>
    <row r="418" spans="1:24" s="1" customFormat="1" ht="24" customHeight="1">
      <c r="A418" s="12" t="s">
        <v>465</v>
      </c>
      <c r="B418" s="73" t="s">
        <v>393</v>
      </c>
      <c r="C418" s="73" t="s">
        <v>395</v>
      </c>
      <c r="D418" s="73" t="s">
        <v>292</v>
      </c>
      <c r="E418" s="73" t="s">
        <v>460</v>
      </c>
      <c r="F418" s="57"/>
      <c r="G418" s="73"/>
      <c r="H418" s="57"/>
      <c r="I418" s="77">
        <v>23063789</v>
      </c>
      <c r="J418" s="78">
        <f>I418</f>
        <v>23063789</v>
      </c>
      <c r="K418" s="77"/>
      <c r="L418" s="78">
        <f>J418+K418</f>
        <v>23063789</v>
      </c>
      <c r="M418" s="77"/>
      <c r="N418" s="78">
        <f>L418+M418</f>
        <v>23063789</v>
      </c>
      <c r="O418" s="77">
        <v>3170176.15</v>
      </c>
      <c r="P418" s="78">
        <f>N418+O418</f>
        <v>26233965.15</v>
      </c>
      <c r="Q418" s="110"/>
      <c r="R418" s="78">
        <f>P418+Q418</f>
        <v>26233965.15</v>
      </c>
      <c r="S418" s="110"/>
      <c r="T418" s="78">
        <f>R418+S418</f>
        <v>26233965.15</v>
      </c>
      <c r="U418" s="60"/>
      <c r="V418" s="60"/>
      <c r="W418" s="60"/>
      <c r="X418" s="60"/>
    </row>
    <row r="419" spans="1:24" s="1" customFormat="1" ht="84" customHeight="1">
      <c r="A419" s="12" t="s">
        <v>22</v>
      </c>
      <c r="B419" s="73" t="s">
        <v>393</v>
      </c>
      <c r="C419" s="73" t="s">
        <v>395</v>
      </c>
      <c r="D419" s="73" t="s">
        <v>292</v>
      </c>
      <c r="E419" s="73" t="s">
        <v>42</v>
      </c>
      <c r="F419" s="57"/>
      <c r="G419" s="73"/>
      <c r="H419" s="57"/>
      <c r="I419" s="77"/>
      <c r="J419" s="78"/>
      <c r="K419" s="77"/>
      <c r="L419" s="78"/>
      <c r="M419" s="77"/>
      <c r="N419" s="78"/>
      <c r="O419" s="77">
        <v>149584.85</v>
      </c>
      <c r="P419" s="78">
        <f>N419+O419</f>
        <v>149584.85</v>
      </c>
      <c r="Q419" s="110"/>
      <c r="R419" s="78">
        <f>P419+Q419</f>
        <v>149584.85</v>
      </c>
      <c r="S419" s="110"/>
      <c r="T419" s="78">
        <f>R419+S419</f>
        <v>149584.85</v>
      </c>
      <c r="U419" s="60"/>
      <c r="V419" s="60"/>
      <c r="W419" s="60"/>
      <c r="X419" s="60"/>
    </row>
    <row r="420" spans="1:24" s="1" customFormat="1" ht="227.25" customHeight="1">
      <c r="A420" s="12" t="s">
        <v>304</v>
      </c>
      <c r="B420" s="73" t="s">
        <v>393</v>
      </c>
      <c r="C420" s="73" t="s">
        <v>395</v>
      </c>
      <c r="D420" s="73" t="s">
        <v>305</v>
      </c>
      <c r="E420" s="73"/>
      <c r="F420" s="57"/>
      <c r="G420" s="73"/>
      <c r="H420" s="57"/>
      <c r="I420" s="77"/>
      <c r="J420" s="78"/>
      <c r="K420" s="77"/>
      <c r="L420" s="78"/>
      <c r="M420" s="77"/>
      <c r="N420" s="78"/>
      <c r="O420" s="77"/>
      <c r="P420" s="78">
        <f>P421+P422</f>
        <v>582000</v>
      </c>
      <c r="Q420" s="110"/>
      <c r="R420" s="78">
        <f>R421+R422</f>
        <v>582000</v>
      </c>
      <c r="S420" s="110"/>
      <c r="T420" s="78">
        <f>T421+T422</f>
        <v>582000</v>
      </c>
      <c r="U420" s="60"/>
      <c r="V420" s="60"/>
      <c r="W420" s="60"/>
      <c r="X420" s="60"/>
    </row>
    <row r="421" spans="1:24" s="1" customFormat="1" ht="39" customHeight="1">
      <c r="A421" s="12" t="s">
        <v>491</v>
      </c>
      <c r="B421" s="73" t="s">
        <v>393</v>
      </c>
      <c r="C421" s="73" t="s">
        <v>395</v>
      </c>
      <c r="D421" s="73" t="s">
        <v>305</v>
      </c>
      <c r="E421" s="73" t="s">
        <v>463</v>
      </c>
      <c r="F421" s="57"/>
      <c r="G421" s="73"/>
      <c r="H421" s="57"/>
      <c r="I421" s="77"/>
      <c r="J421" s="78"/>
      <c r="K421" s="77"/>
      <c r="L421" s="78"/>
      <c r="M421" s="77"/>
      <c r="N421" s="78"/>
      <c r="O421" s="77">
        <v>568650</v>
      </c>
      <c r="P421" s="78">
        <f>N421+O421</f>
        <v>568650</v>
      </c>
      <c r="Q421" s="110"/>
      <c r="R421" s="78">
        <f>P421+Q421</f>
        <v>568650</v>
      </c>
      <c r="S421" s="110"/>
      <c r="T421" s="78">
        <f>R421+S421</f>
        <v>568650</v>
      </c>
      <c r="U421" s="60"/>
      <c r="V421" s="60"/>
      <c r="W421" s="60"/>
      <c r="X421" s="60"/>
    </row>
    <row r="422" spans="1:24" s="1" customFormat="1" ht="84" customHeight="1">
      <c r="A422" s="12" t="s">
        <v>63</v>
      </c>
      <c r="B422" s="73" t="s">
        <v>393</v>
      </c>
      <c r="C422" s="73" t="s">
        <v>395</v>
      </c>
      <c r="D422" s="73" t="s">
        <v>305</v>
      </c>
      <c r="E422" s="73" t="s">
        <v>42</v>
      </c>
      <c r="F422" s="57"/>
      <c r="G422" s="73"/>
      <c r="H422" s="57"/>
      <c r="I422" s="77"/>
      <c r="J422" s="78"/>
      <c r="K422" s="77"/>
      <c r="L422" s="78"/>
      <c r="M422" s="77"/>
      <c r="N422" s="78"/>
      <c r="O422" s="77">
        <v>13350</v>
      </c>
      <c r="P422" s="78">
        <f>N422+O422</f>
        <v>13350</v>
      </c>
      <c r="Q422" s="110"/>
      <c r="R422" s="78">
        <f>P422+Q422</f>
        <v>13350</v>
      </c>
      <c r="S422" s="110"/>
      <c r="T422" s="78">
        <f>R422+S422</f>
        <v>13350</v>
      </c>
      <c r="U422" s="60"/>
      <c r="V422" s="60"/>
      <c r="W422" s="60"/>
      <c r="X422" s="60"/>
    </row>
    <row r="423" spans="1:24" s="55" customFormat="1" ht="81.75" customHeight="1">
      <c r="A423" s="12" t="s">
        <v>315</v>
      </c>
      <c r="B423" s="73" t="s">
        <v>393</v>
      </c>
      <c r="C423" s="73" t="s">
        <v>395</v>
      </c>
      <c r="D423" s="73" t="s">
        <v>69</v>
      </c>
      <c r="E423" s="73"/>
      <c r="F423" s="57"/>
      <c r="G423" s="73"/>
      <c r="H423" s="57"/>
      <c r="I423" s="77"/>
      <c r="J423" s="78">
        <f>J424+J427</f>
        <v>3549000</v>
      </c>
      <c r="K423" s="98"/>
      <c r="L423" s="78">
        <f>L424+L427</f>
        <v>3178865.1</v>
      </c>
      <c r="M423" s="98"/>
      <c r="N423" s="78">
        <f>N424+N427</f>
        <v>3178865.1</v>
      </c>
      <c r="O423" s="98"/>
      <c r="P423" s="78">
        <f>P424+P427</f>
        <v>3389000</v>
      </c>
      <c r="Q423" s="113"/>
      <c r="R423" s="78">
        <f>R424+R427</f>
        <v>3389000</v>
      </c>
      <c r="S423" s="113"/>
      <c r="T423" s="78">
        <f>T424+T427+T429</f>
        <v>3843109.8899999997</v>
      </c>
      <c r="U423" s="64"/>
      <c r="V423" s="64"/>
      <c r="W423" s="64"/>
      <c r="X423" s="64"/>
    </row>
    <row r="424" spans="1:24" s="55" customFormat="1" ht="69" customHeight="1">
      <c r="A424" s="12" t="s">
        <v>313</v>
      </c>
      <c r="B424" s="73" t="s">
        <v>393</v>
      </c>
      <c r="C424" s="73" t="s">
        <v>395</v>
      </c>
      <c r="D424" s="73" t="s">
        <v>70</v>
      </c>
      <c r="E424" s="73"/>
      <c r="F424" s="57"/>
      <c r="G424" s="73"/>
      <c r="H424" s="57"/>
      <c r="I424" s="77"/>
      <c r="J424" s="78">
        <f>J425+J426</f>
        <v>3339000</v>
      </c>
      <c r="K424" s="98"/>
      <c r="L424" s="78">
        <f>L425+L426</f>
        <v>2968865.1</v>
      </c>
      <c r="M424" s="98"/>
      <c r="N424" s="78">
        <f>N425+N426</f>
        <v>2968865.1</v>
      </c>
      <c r="O424" s="98"/>
      <c r="P424" s="78">
        <f>P425+P426</f>
        <v>3179000</v>
      </c>
      <c r="Q424" s="113"/>
      <c r="R424" s="78">
        <f>R425+R426</f>
        <v>3179000</v>
      </c>
      <c r="S424" s="113"/>
      <c r="T424" s="78">
        <f>T425+T426</f>
        <v>3242509.51</v>
      </c>
      <c r="U424" s="64"/>
      <c r="V424" s="64"/>
      <c r="W424" s="64"/>
      <c r="X424" s="64"/>
    </row>
    <row r="425" spans="1:24" s="55" customFormat="1" ht="50.25" customHeight="1">
      <c r="A425" s="56" t="s">
        <v>39</v>
      </c>
      <c r="B425" s="73" t="s">
        <v>393</v>
      </c>
      <c r="C425" s="73" t="s">
        <v>395</v>
      </c>
      <c r="D425" s="73" t="s">
        <v>70</v>
      </c>
      <c r="E425" s="73" t="s">
        <v>470</v>
      </c>
      <c r="F425" s="57"/>
      <c r="G425" s="73"/>
      <c r="H425" s="57"/>
      <c r="I425" s="77">
        <v>2087861</v>
      </c>
      <c r="J425" s="78">
        <f>I425</f>
        <v>2087861</v>
      </c>
      <c r="K425" s="98">
        <v>-370134.9</v>
      </c>
      <c r="L425" s="78">
        <f>J425+K425</f>
        <v>1717726.1</v>
      </c>
      <c r="M425" s="98"/>
      <c r="N425" s="78">
        <f>L425+M425</f>
        <v>1717726.1</v>
      </c>
      <c r="O425" s="98">
        <v>656865.86</v>
      </c>
      <c r="P425" s="78">
        <f>N425+O425</f>
        <v>2374591.96</v>
      </c>
      <c r="Q425" s="113"/>
      <c r="R425" s="78">
        <f>P425+Q425</f>
        <v>2374591.96</v>
      </c>
      <c r="S425" s="113">
        <v>63509.51</v>
      </c>
      <c r="T425" s="78">
        <f>R425+S425</f>
        <v>2438101.4699999997</v>
      </c>
      <c r="U425" s="64"/>
      <c r="V425" s="64"/>
      <c r="W425" s="64"/>
      <c r="X425" s="64"/>
    </row>
    <row r="426" spans="1:24" s="55" customFormat="1" ht="33.75" customHeight="1">
      <c r="A426" s="12" t="s">
        <v>244</v>
      </c>
      <c r="B426" s="73" t="s">
        <v>393</v>
      </c>
      <c r="C426" s="73" t="s">
        <v>395</v>
      </c>
      <c r="D426" s="73" t="s">
        <v>70</v>
      </c>
      <c r="E426" s="73" t="s">
        <v>312</v>
      </c>
      <c r="F426" s="57"/>
      <c r="G426" s="73"/>
      <c r="H426" s="57"/>
      <c r="I426" s="77">
        <v>1251139</v>
      </c>
      <c r="J426" s="78">
        <f>I426</f>
        <v>1251139</v>
      </c>
      <c r="K426" s="98"/>
      <c r="L426" s="78">
        <f>J426+K426</f>
        <v>1251139</v>
      </c>
      <c r="M426" s="98"/>
      <c r="N426" s="78">
        <f>L426+M426</f>
        <v>1251139</v>
      </c>
      <c r="O426" s="98">
        <v>-446730.96</v>
      </c>
      <c r="P426" s="78">
        <f>N426+O426</f>
        <v>804408.04</v>
      </c>
      <c r="Q426" s="113"/>
      <c r="R426" s="78">
        <f>P426+Q426</f>
        <v>804408.04</v>
      </c>
      <c r="S426" s="113"/>
      <c r="T426" s="78">
        <f>R426+S426</f>
        <v>804408.04</v>
      </c>
      <c r="U426" s="64"/>
      <c r="V426" s="64"/>
      <c r="W426" s="64"/>
      <c r="X426" s="64"/>
    </row>
    <row r="427" spans="1:24" s="55" customFormat="1" ht="52.5" customHeight="1">
      <c r="A427" s="12" t="s">
        <v>317</v>
      </c>
      <c r="B427" s="73" t="s">
        <v>393</v>
      </c>
      <c r="C427" s="73" t="s">
        <v>395</v>
      </c>
      <c r="D427" s="73" t="s">
        <v>316</v>
      </c>
      <c r="E427" s="73"/>
      <c r="F427" s="57"/>
      <c r="G427" s="73"/>
      <c r="H427" s="57"/>
      <c r="I427" s="77"/>
      <c r="J427" s="78">
        <f>J428</f>
        <v>210000</v>
      </c>
      <c r="K427" s="98"/>
      <c r="L427" s="78">
        <f>L428</f>
        <v>210000</v>
      </c>
      <c r="M427" s="98"/>
      <c r="N427" s="78">
        <f>N428</f>
        <v>210000</v>
      </c>
      <c r="O427" s="98"/>
      <c r="P427" s="78">
        <f>P428</f>
        <v>210000</v>
      </c>
      <c r="Q427" s="113"/>
      <c r="R427" s="78">
        <f>R428</f>
        <v>210000</v>
      </c>
      <c r="S427" s="113"/>
      <c r="T427" s="78">
        <f>T428</f>
        <v>210000</v>
      </c>
      <c r="U427" s="64"/>
      <c r="V427" s="64"/>
      <c r="W427" s="64"/>
      <c r="X427" s="64"/>
    </row>
    <row r="428" spans="1:24" s="55" customFormat="1" ht="33.75" customHeight="1">
      <c r="A428" s="12" t="s">
        <v>491</v>
      </c>
      <c r="B428" s="73" t="s">
        <v>393</v>
      </c>
      <c r="C428" s="73" t="s">
        <v>395</v>
      </c>
      <c r="D428" s="73" t="s">
        <v>316</v>
      </c>
      <c r="E428" s="73" t="s">
        <v>463</v>
      </c>
      <c r="F428" s="57"/>
      <c r="G428" s="73"/>
      <c r="H428" s="57"/>
      <c r="I428" s="77">
        <v>210000</v>
      </c>
      <c r="J428" s="78">
        <f>I428</f>
        <v>210000</v>
      </c>
      <c r="K428" s="98"/>
      <c r="L428" s="78">
        <f>J428+K428</f>
        <v>210000</v>
      </c>
      <c r="M428" s="98"/>
      <c r="N428" s="78">
        <f>L428+M428</f>
        <v>210000</v>
      </c>
      <c r="O428" s="98"/>
      <c r="P428" s="78">
        <f>N428+O428</f>
        <v>210000</v>
      </c>
      <c r="Q428" s="113"/>
      <c r="R428" s="78">
        <f>P428+Q428</f>
        <v>210000</v>
      </c>
      <c r="S428" s="113"/>
      <c r="T428" s="78">
        <f>R428+S428</f>
        <v>210000</v>
      </c>
      <c r="U428" s="64"/>
      <c r="V428" s="64"/>
      <c r="W428" s="64"/>
      <c r="X428" s="64"/>
    </row>
    <row r="429" spans="1:24" s="55" customFormat="1" ht="33.75" customHeight="1">
      <c r="A429" s="12" t="s">
        <v>333</v>
      </c>
      <c r="B429" s="73" t="s">
        <v>393</v>
      </c>
      <c r="C429" s="73" t="s">
        <v>395</v>
      </c>
      <c r="D429" s="73" t="s">
        <v>318</v>
      </c>
      <c r="E429" s="73"/>
      <c r="F429" s="57"/>
      <c r="G429" s="73"/>
      <c r="H429" s="57"/>
      <c r="I429" s="77"/>
      <c r="J429" s="78"/>
      <c r="K429" s="98"/>
      <c r="L429" s="78"/>
      <c r="M429" s="98"/>
      <c r="N429" s="78"/>
      <c r="O429" s="98"/>
      <c r="P429" s="78"/>
      <c r="Q429" s="113"/>
      <c r="R429" s="78"/>
      <c r="S429" s="113"/>
      <c r="T429" s="78">
        <f>T430+T431+T432</f>
        <v>390600.38</v>
      </c>
      <c r="U429" s="64"/>
      <c r="V429" s="64"/>
      <c r="W429" s="64"/>
      <c r="X429" s="64"/>
    </row>
    <row r="430" spans="1:24" s="55" customFormat="1" ht="33.75" customHeight="1">
      <c r="A430" s="56" t="s">
        <v>39</v>
      </c>
      <c r="B430" s="73" t="s">
        <v>393</v>
      </c>
      <c r="C430" s="73" t="s">
        <v>395</v>
      </c>
      <c r="D430" s="73" t="s">
        <v>318</v>
      </c>
      <c r="E430" s="73" t="s">
        <v>470</v>
      </c>
      <c r="F430" s="57"/>
      <c r="G430" s="73"/>
      <c r="H430" s="57"/>
      <c r="I430" s="77"/>
      <c r="J430" s="78"/>
      <c r="K430" s="98"/>
      <c r="L430" s="78"/>
      <c r="M430" s="98"/>
      <c r="N430" s="78"/>
      <c r="O430" s="98"/>
      <c r="P430" s="78"/>
      <c r="Q430" s="113"/>
      <c r="R430" s="78"/>
      <c r="S430" s="113">
        <v>278603.38</v>
      </c>
      <c r="T430" s="78">
        <f>R430+S430</f>
        <v>278603.38</v>
      </c>
      <c r="U430" s="64"/>
      <c r="V430" s="64"/>
      <c r="W430" s="64"/>
      <c r="X430" s="64"/>
    </row>
    <row r="431" spans="1:24" s="55" customFormat="1" ht="33.75" customHeight="1">
      <c r="A431" s="12" t="s">
        <v>491</v>
      </c>
      <c r="B431" s="73" t="s">
        <v>393</v>
      </c>
      <c r="C431" s="73" t="s">
        <v>395</v>
      </c>
      <c r="D431" s="73" t="s">
        <v>318</v>
      </c>
      <c r="E431" s="73" t="s">
        <v>463</v>
      </c>
      <c r="F431" s="57"/>
      <c r="G431" s="73"/>
      <c r="H431" s="57"/>
      <c r="I431" s="77"/>
      <c r="J431" s="78"/>
      <c r="K431" s="98"/>
      <c r="L431" s="78"/>
      <c r="M431" s="98"/>
      <c r="N431" s="78"/>
      <c r="O431" s="98"/>
      <c r="P431" s="78"/>
      <c r="Q431" s="113"/>
      <c r="R431" s="78"/>
      <c r="S431" s="113">
        <v>42000</v>
      </c>
      <c r="T431" s="78">
        <f>R431+S431</f>
        <v>42000</v>
      </c>
      <c r="U431" s="64"/>
      <c r="V431" s="64"/>
      <c r="W431" s="64"/>
      <c r="X431" s="64"/>
    </row>
    <row r="432" spans="1:24" s="55" customFormat="1" ht="33.75" customHeight="1">
      <c r="A432" s="12" t="s">
        <v>244</v>
      </c>
      <c r="B432" s="73" t="s">
        <v>393</v>
      </c>
      <c r="C432" s="73" t="s">
        <v>395</v>
      </c>
      <c r="D432" s="73" t="s">
        <v>318</v>
      </c>
      <c r="E432" s="73" t="s">
        <v>312</v>
      </c>
      <c r="F432" s="57"/>
      <c r="G432" s="73"/>
      <c r="H432" s="57"/>
      <c r="I432" s="77"/>
      <c r="J432" s="78"/>
      <c r="K432" s="98"/>
      <c r="L432" s="78"/>
      <c r="M432" s="98"/>
      <c r="N432" s="78"/>
      <c r="O432" s="98"/>
      <c r="P432" s="78"/>
      <c r="Q432" s="113"/>
      <c r="R432" s="78"/>
      <c r="S432" s="113">
        <v>69997</v>
      </c>
      <c r="T432" s="78">
        <f>R432+S432</f>
        <v>69997</v>
      </c>
      <c r="U432" s="64"/>
      <c r="V432" s="64"/>
      <c r="W432" s="64"/>
      <c r="X432" s="64"/>
    </row>
    <row r="433" spans="1:24" ht="22.5" customHeight="1">
      <c r="A433" s="12" t="s">
        <v>412</v>
      </c>
      <c r="B433" s="73" t="s">
        <v>393</v>
      </c>
      <c r="C433" s="73" t="s">
        <v>363</v>
      </c>
      <c r="D433" s="73"/>
      <c r="E433" s="73"/>
      <c r="F433" s="57" t="e">
        <f>F435+F472+#REF!+#REF!+#REF!+#REF!+#REF!+F448</f>
        <v>#REF!</v>
      </c>
      <c r="G433" s="73"/>
      <c r="H433" s="57">
        <f>H435+H472+H479</f>
        <v>392494794</v>
      </c>
      <c r="I433" s="77"/>
      <c r="J433" s="57">
        <f>J434</f>
        <v>370515367.38</v>
      </c>
      <c r="K433" s="76"/>
      <c r="L433" s="57">
        <f>L434</f>
        <v>371761829.52</v>
      </c>
      <c r="M433" s="76"/>
      <c r="N433" s="57">
        <f>N434</f>
        <v>371761829.52</v>
      </c>
      <c r="O433" s="75"/>
      <c r="P433" s="57">
        <f>P434</f>
        <v>357722682.78999996</v>
      </c>
      <c r="Q433" s="50"/>
      <c r="R433" s="57">
        <f>R434+R505</f>
        <v>368351250.78999996</v>
      </c>
      <c r="S433" s="50"/>
      <c r="T433" s="57">
        <f>T434+T505</f>
        <v>368134144.02</v>
      </c>
      <c r="U433" s="58"/>
      <c r="V433" s="58"/>
      <c r="W433" s="58"/>
      <c r="X433" s="58"/>
    </row>
    <row r="434" spans="1:24" ht="54" customHeight="1">
      <c r="A434" s="12" t="s">
        <v>222</v>
      </c>
      <c r="B434" s="73" t="s">
        <v>393</v>
      </c>
      <c r="C434" s="73" t="s">
        <v>363</v>
      </c>
      <c r="D434" s="73" t="s">
        <v>451</v>
      </c>
      <c r="E434" s="73"/>
      <c r="F434" s="57"/>
      <c r="G434" s="73"/>
      <c r="H434" s="57">
        <f>H433</f>
        <v>392494794</v>
      </c>
      <c r="I434" s="75"/>
      <c r="J434" s="57">
        <f>J435+J472+J479</f>
        <v>370515367.38</v>
      </c>
      <c r="K434" s="75"/>
      <c r="L434" s="57">
        <f>L435+L472+L479</f>
        <v>371761829.52</v>
      </c>
      <c r="M434" s="75"/>
      <c r="N434" s="57">
        <f>N435+N472+N479</f>
        <v>371761829.52</v>
      </c>
      <c r="O434" s="75"/>
      <c r="P434" s="57">
        <f>P435+P472+P479</f>
        <v>357722682.78999996</v>
      </c>
      <c r="Q434" s="50"/>
      <c r="R434" s="57">
        <f>R435+R472+R479</f>
        <v>368273682.78999996</v>
      </c>
      <c r="S434" s="50"/>
      <c r="T434" s="57">
        <f>T435+T472+T479</f>
        <v>368056576.02</v>
      </c>
      <c r="U434" s="58"/>
      <c r="V434" s="58"/>
      <c r="W434" s="58"/>
      <c r="X434" s="58"/>
    </row>
    <row r="435" spans="1:24" s="1" customFormat="1" ht="56.25" customHeight="1">
      <c r="A435" s="12" t="s">
        <v>27</v>
      </c>
      <c r="B435" s="73" t="s">
        <v>393</v>
      </c>
      <c r="C435" s="73" t="s">
        <v>363</v>
      </c>
      <c r="D435" s="73" t="s">
        <v>28</v>
      </c>
      <c r="E435" s="73"/>
      <c r="F435" s="57" t="e">
        <f>F437+#REF!+F438+F439+#REF!+#REF!</f>
        <v>#REF!</v>
      </c>
      <c r="G435" s="73"/>
      <c r="H435" s="57">
        <f>H436+H448+H451+H454+H463+H466+H468</f>
        <v>369797954</v>
      </c>
      <c r="I435" s="77"/>
      <c r="J435" s="57">
        <f>J436+J448+J451+J454+J463+J466+J468+J441+J444+J470</f>
        <v>346519327.38</v>
      </c>
      <c r="K435" s="77"/>
      <c r="L435" s="57">
        <f>L436+L448+L451+L454+L463+L466+L468+L441+L444+L470</f>
        <v>346562029.62</v>
      </c>
      <c r="M435" s="77"/>
      <c r="N435" s="57">
        <f>N436+N448+N451+N454+N463+N466+N468+N441+N444+N470</f>
        <v>346562029.62</v>
      </c>
      <c r="O435" s="77"/>
      <c r="P435" s="57">
        <f>P436+P448+P451+P454+P463+P466+P468+P441+P444+P470</f>
        <v>333683017.78999996</v>
      </c>
      <c r="Q435" s="110"/>
      <c r="R435" s="57">
        <f>R436+R448+R451+R454+R463+R466+R468+R441+R444+R470</f>
        <v>333683017.78999996</v>
      </c>
      <c r="S435" s="110"/>
      <c r="T435" s="57">
        <f>T436+T448+T451+T454+T463+T466+T468+T441+T444+T470</f>
        <v>333856511.4</v>
      </c>
      <c r="U435" s="60"/>
      <c r="V435" s="60"/>
      <c r="W435" s="60"/>
      <c r="X435" s="60"/>
    </row>
    <row r="436" spans="1:24" ht="69" customHeight="1">
      <c r="A436" s="12" t="s">
        <v>29</v>
      </c>
      <c r="B436" s="73" t="s">
        <v>393</v>
      </c>
      <c r="C436" s="73" t="s">
        <v>363</v>
      </c>
      <c r="D436" s="73" t="s">
        <v>30</v>
      </c>
      <c r="E436" s="73"/>
      <c r="F436" s="57"/>
      <c r="G436" s="73"/>
      <c r="H436" s="57">
        <f>H437+H438+H439+H440</f>
        <v>233891000</v>
      </c>
      <c r="I436" s="75"/>
      <c r="J436" s="57">
        <f>J437+J438+J439+J440</f>
        <v>0</v>
      </c>
      <c r="K436" s="75"/>
      <c r="L436" s="57">
        <f>L437+L438+L439+L440</f>
        <v>0</v>
      </c>
      <c r="M436" s="75"/>
      <c r="N436" s="57">
        <f>N437+N438+N439+N440</f>
        <v>0</v>
      </c>
      <c r="O436" s="75"/>
      <c r="P436" s="57">
        <f>P437+P438+P439+P440</f>
        <v>0</v>
      </c>
      <c r="Q436" s="50"/>
      <c r="R436" s="57">
        <f>R437+R438+R439+R440</f>
        <v>0</v>
      </c>
      <c r="S436" s="50"/>
      <c r="T436" s="57">
        <f>T437+T438+T439+T440</f>
        <v>0</v>
      </c>
      <c r="U436" s="58"/>
      <c r="V436" s="58"/>
      <c r="W436" s="58"/>
      <c r="X436" s="58"/>
    </row>
    <row r="437" spans="1:24" s="1" customFormat="1" ht="15.75">
      <c r="A437" s="12" t="s">
        <v>465</v>
      </c>
      <c r="B437" s="73" t="s">
        <v>393</v>
      </c>
      <c r="C437" s="73" t="s">
        <v>363</v>
      </c>
      <c r="D437" s="73" t="s">
        <v>30</v>
      </c>
      <c r="E437" s="73" t="s">
        <v>460</v>
      </c>
      <c r="F437" s="57">
        <v>0</v>
      </c>
      <c r="G437" s="97">
        <v>1474467</v>
      </c>
      <c r="H437" s="57">
        <f>229432000-43402559</f>
        <v>186029441</v>
      </c>
      <c r="I437" s="77">
        <v>-186029441</v>
      </c>
      <c r="J437" s="78">
        <f>H437+I437</f>
        <v>0</v>
      </c>
      <c r="K437" s="77"/>
      <c r="L437" s="78">
        <f>J437+K437</f>
        <v>0</v>
      </c>
      <c r="M437" s="77"/>
      <c r="N437" s="78">
        <f>L437+M437</f>
        <v>0</v>
      </c>
      <c r="O437" s="77"/>
      <c r="P437" s="78">
        <f>N437+O437</f>
        <v>0</v>
      </c>
      <c r="Q437" s="110"/>
      <c r="R437" s="78">
        <f>P437+Q437</f>
        <v>0</v>
      </c>
      <c r="S437" s="110"/>
      <c r="T437" s="78">
        <f>R437+S437</f>
        <v>0</v>
      </c>
      <c r="U437" s="60"/>
      <c r="V437" s="60"/>
      <c r="W437" s="60"/>
      <c r="X437" s="60"/>
    </row>
    <row r="438" spans="1:24" s="1" customFormat="1" ht="47.25">
      <c r="A438" s="12" t="s">
        <v>467</v>
      </c>
      <c r="B438" s="73" t="s">
        <v>393</v>
      </c>
      <c r="C438" s="73" t="s">
        <v>363</v>
      </c>
      <c r="D438" s="73" t="s">
        <v>30</v>
      </c>
      <c r="E438" s="73" t="s">
        <v>462</v>
      </c>
      <c r="F438" s="57">
        <v>0</v>
      </c>
      <c r="G438" s="97">
        <v>1284127</v>
      </c>
      <c r="H438" s="57">
        <f>1600000-521293</f>
        <v>1078707</v>
      </c>
      <c r="I438" s="77">
        <v>-1078707</v>
      </c>
      <c r="J438" s="78">
        <f>H438+I438</f>
        <v>0</v>
      </c>
      <c r="K438" s="77"/>
      <c r="L438" s="78">
        <f>J438+K438</f>
        <v>0</v>
      </c>
      <c r="M438" s="77"/>
      <c r="N438" s="78">
        <f>L438+M438</f>
        <v>0</v>
      </c>
      <c r="O438" s="77"/>
      <c r="P438" s="78">
        <f>N438+O438</f>
        <v>0</v>
      </c>
      <c r="Q438" s="110"/>
      <c r="R438" s="78">
        <f>P438+Q438</f>
        <v>0</v>
      </c>
      <c r="S438" s="110"/>
      <c r="T438" s="78">
        <f>R438+S438</f>
        <v>0</v>
      </c>
      <c r="U438" s="60"/>
      <c r="V438" s="60"/>
      <c r="W438" s="60"/>
      <c r="X438" s="60"/>
    </row>
    <row r="439" spans="1:24" s="1" customFormat="1" ht="31.5">
      <c r="A439" s="12" t="s">
        <v>491</v>
      </c>
      <c r="B439" s="73" t="s">
        <v>393</v>
      </c>
      <c r="C439" s="73" t="s">
        <v>363</v>
      </c>
      <c r="D439" s="73" t="s">
        <v>30</v>
      </c>
      <c r="E439" s="73" t="s">
        <v>463</v>
      </c>
      <c r="F439" s="57">
        <v>0</v>
      </c>
      <c r="G439" s="97">
        <v>48946218</v>
      </c>
      <c r="H439" s="57">
        <f>2859000-779067</f>
        <v>2079933</v>
      </c>
      <c r="I439" s="77">
        <v>-2079933</v>
      </c>
      <c r="J439" s="78">
        <f>H439+I439</f>
        <v>0</v>
      </c>
      <c r="K439" s="77"/>
      <c r="L439" s="78">
        <f>J439+K439</f>
        <v>0</v>
      </c>
      <c r="M439" s="77"/>
      <c r="N439" s="78">
        <f>L439+M439</f>
        <v>0</v>
      </c>
      <c r="O439" s="77"/>
      <c r="P439" s="78">
        <f>N439+O439</f>
        <v>0</v>
      </c>
      <c r="Q439" s="110"/>
      <c r="R439" s="78">
        <f>P439+Q439</f>
        <v>0</v>
      </c>
      <c r="S439" s="110"/>
      <c r="T439" s="78">
        <f>R439+S439</f>
        <v>0</v>
      </c>
      <c r="U439" s="60"/>
      <c r="V439" s="60"/>
      <c r="W439" s="60"/>
      <c r="X439" s="60"/>
    </row>
    <row r="440" spans="1:24" s="1" customFormat="1" ht="67.5" customHeight="1">
      <c r="A440" s="12" t="s">
        <v>63</v>
      </c>
      <c r="B440" s="73" t="s">
        <v>393</v>
      </c>
      <c r="C440" s="73" t="s">
        <v>363</v>
      </c>
      <c r="D440" s="73" t="s">
        <v>30</v>
      </c>
      <c r="E440" s="73" t="s">
        <v>42</v>
      </c>
      <c r="F440" s="57"/>
      <c r="G440" s="97"/>
      <c r="H440" s="57">
        <v>44702919</v>
      </c>
      <c r="I440" s="77">
        <v>-44702919</v>
      </c>
      <c r="J440" s="78">
        <f>H440+I440</f>
        <v>0</v>
      </c>
      <c r="K440" s="77"/>
      <c r="L440" s="78">
        <f>J440+K440</f>
        <v>0</v>
      </c>
      <c r="M440" s="77"/>
      <c r="N440" s="78">
        <f>L440+M440</f>
        <v>0</v>
      </c>
      <c r="O440" s="77"/>
      <c r="P440" s="78">
        <f>N440+O440</f>
        <v>0</v>
      </c>
      <c r="Q440" s="110"/>
      <c r="R440" s="78">
        <f>P440+Q440</f>
        <v>0</v>
      </c>
      <c r="S440" s="110"/>
      <c r="T440" s="78">
        <f>R440+S440</f>
        <v>0</v>
      </c>
      <c r="U440" s="60"/>
      <c r="V440" s="60"/>
      <c r="W440" s="60"/>
      <c r="X440" s="60"/>
    </row>
    <row r="441" spans="1:24" s="1" customFormat="1" ht="211.5" customHeight="1">
      <c r="A441" s="12" t="s">
        <v>298</v>
      </c>
      <c r="B441" s="73" t="s">
        <v>393</v>
      </c>
      <c r="C441" s="73" t="s">
        <v>363</v>
      </c>
      <c r="D441" s="73" t="s">
        <v>292</v>
      </c>
      <c r="E441" s="73"/>
      <c r="F441" s="57"/>
      <c r="G441" s="97"/>
      <c r="H441" s="57"/>
      <c r="I441" s="77"/>
      <c r="J441" s="78">
        <f>J442+J443</f>
        <v>206368211</v>
      </c>
      <c r="K441" s="77"/>
      <c r="L441" s="78">
        <f>L442+L443</f>
        <v>206368211</v>
      </c>
      <c r="M441" s="77"/>
      <c r="N441" s="78">
        <f>N442+N443</f>
        <v>206368211</v>
      </c>
      <c r="O441" s="77"/>
      <c r="P441" s="78">
        <f>P442+P443</f>
        <v>193578450</v>
      </c>
      <c r="Q441" s="110"/>
      <c r="R441" s="78">
        <f>R442+R443</f>
        <v>193578450</v>
      </c>
      <c r="S441" s="110"/>
      <c r="T441" s="78">
        <f>T442+T443</f>
        <v>193578450</v>
      </c>
      <c r="U441" s="60"/>
      <c r="V441" s="60"/>
      <c r="W441" s="60"/>
      <c r="X441" s="60"/>
    </row>
    <row r="442" spans="1:24" s="1" customFormat="1" ht="15.75">
      <c r="A442" s="12" t="s">
        <v>465</v>
      </c>
      <c r="B442" s="99">
        <v>906</v>
      </c>
      <c r="C442" s="73" t="s">
        <v>363</v>
      </c>
      <c r="D442" s="73" t="s">
        <v>292</v>
      </c>
      <c r="E442" s="73" t="s">
        <v>460</v>
      </c>
      <c r="F442" s="57"/>
      <c r="G442" s="97"/>
      <c r="H442" s="57"/>
      <c r="I442" s="77">
        <v>159398791</v>
      </c>
      <c r="J442" s="78">
        <f>I442</f>
        <v>159398791</v>
      </c>
      <c r="K442" s="77"/>
      <c r="L442" s="78">
        <f>J442+K442</f>
        <v>159398791</v>
      </c>
      <c r="M442" s="77"/>
      <c r="N442" s="78">
        <f>L442+M442</f>
        <v>159398791</v>
      </c>
      <c r="O442" s="77">
        <v>-6878864.65</v>
      </c>
      <c r="P442" s="78">
        <f>N442+O442</f>
        <v>152519926.35</v>
      </c>
      <c r="Q442" s="110"/>
      <c r="R442" s="78">
        <f>P442+Q442</f>
        <v>152519926.35</v>
      </c>
      <c r="S442" s="110"/>
      <c r="T442" s="78">
        <f>R442+S442</f>
        <v>152519926.35</v>
      </c>
      <c r="U442" s="60"/>
      <c r="V442" s="60"/>
      <c r="W442" s="60"/>
      <c r="X442" s="60"/>
    </row>
    <row r="443" spans="1:24" s="1" customFormat="1" ht="67.5" customHeight="1">
      <c r="A443" s="12" t="s">
        <v>63</v>
      </c>
      <c r="B443" s="73" t="s">
        <v>393</v>
      </c>
      <c r="C443" s="73" t="s">
        <v>363</v>
      </c>
      <c r="D443" s="73" t="s">
        <v>292</v>
      </c>
      <c r="E443" s="73" t="s">
        <v>42</v>
      </c>
      <c r="F443" s="57"/>
      <c r="G443" s="97"/>
      <c r="H443" s="57"/>
      <c r="I443" s="77">
        <v>46969420</v>
      </c>
      <c r="J443" s="78">
        <f>I443</f>
        <v>46969420</v>
      </c>
      <c r="K443" s="77"/>
      <c r="L443" s="78">
        <f>J443+K443</f>
        <v>46969420</v>
      </c>
      <c r="M443" s="77"/>
      <c r="N443" s="78">
        <f>L443+M443</f>
        <v>46969420</v>
      </c>
      <c r="O443" s="77">
        <v>-5910896.35</v>
      </c>
      <c r="P443" s="78">
        <f>N443+O443</f>
        <v>41058523.65</v>
      </c>
      <c r="Q443" s="110"/>
      <c r="R443" s="78">
        <f>P443+Q443</f>
        <v>41058523.65</v>
      </c>
      <c r="S443" s="110"/>
      <c r="T443" s="78">
        <f>R443+S443</f>
        <v>41058523.65</v>
      </c>
      <c r="U443" s="60"/>
      <c r="V443" s="60"/>
      <c r="W443" s="60"/>
      <c r="X443" s="60"/>
    </row>
    <row r="444" spans="1:24" s="1" customFormat="1" ht="224.25" customHeight="1">
      <c r="A444" s="12" t="s">
        <v>304</v>
      </c>
      <c r="B444" s="73" t="s">
        <v>393</v>
      </c>
      <c r="C444" s="73" t="s">
        <v>363</v>
      </c>
      <c r="D444" s="73" t="s">
        <v>305</v>
      </c>
      <c r="E444" s="73"/>
      <c r="F444" s="57"/>
      <c r="G444" s="97"/>
      <c r="H444" s="57"/>
      <c r="I444" s="77"/>
      <c r="J444" s="78">
        <f>J445+J446+J447</f>
        <v>4459000</v>
      </c>
      <c r="K444" s="77"/>
      <c r="L444" s="78">
        <f>L445+L446+L447</f>
        <v>4459000</v>
      </c>
      <c r="M444" s="77"/>
      <c r="N444" s="78">
        <f>N445+N446+N447</f>
        <v>4459000</v>
      </c>
      <c r="O444" s="77"/>
      <c r="P444" s="78">
        <f>P445+P446+P447</f>
        <v>4459000</v>
      </c>
      <c r="Q444" s="110"/>
      <c r="R444" s="78">
        <f>R445+R446+R447</f>
        <v>4459000</v>
      </c>
      <c r="S444" s="110"/>
      <c r="T444" s="78">
        <f>T445+T446+T447</f>
        <v>4459000</v>
      </c>
      <c r="U444" s="60"/>
      <c r="V444" s="60"/>
      <c r="W444" s="60"/>
      <c r="X444" s="60"/>
    </row>
    <row r="445" spans="1:24" s="1" customFormat="1" ht="47.25">
      <c r="A445" s="12" t="s">
        <v>467</v>
      </c>
      <c r="B445" s="73" t="s">
        <v>393</v>
      </c>
      <c r="C445" s="73" t="s">
        <v>363</v>
      </c>
      <c r="D445" s="73" t="s">
        <v>305</v>
      </c>
      <c r="E445" s="73" t="s">
        <v>462</v>
      </c>
      <c r="F445" s="57"/>
      <c r="G445" s="97"/>
      <c r="H445" s="57"/>
      <c r="I445" s="77">
        <v>1078707</v>
      </c>
      <c r="J445" s="78">
        <f>I445</f>
        <v>1078707</v>
      </c>
      <c r="K445" s="77">
        <v>-20074.04</v>
      </c>
      <c r="L445" s="78">
        <f>J445+K445</f>
        <v>1058632.96</v>
      </c>
      <c r="M445" s="77"/>
      <c r="N445" s="78">
        <f>L445+M445</f>
        <v>1058632.96</v>
      </c>
      <c r="O445" s="77">
        <v>-53814.8</v>
      </c>
      <c r="P445" s="78">
        <f>N445+O445</f>
        <v>1004818.1599999999</v>
      </c>
      <c r="Q445" s="110"/>
      <c r="R445" s="78">
        <f>P445+Q445</f>
        <v>1004818.1599999999</v>
      </c>
      <c r="S445" s="110">
        <v>-7875.81</v>
      </c>
      <c r="T445" s="78">
        <f>R445+S445</f>
        <v>996942.3499999999</v>
      </c>
      <c r="U445" s="60"/>
      <c r="V445" s="60"/>
      <c r="W445" s="60"/>
      <c r="X445" s="60"/>
    </row>
    <row r="446" spans="1:24" s="1" customFormat="1" ht="31.5">
      <c r="A446" s="12" t="s">
        <v>491</v>
      </c>
      <c r="B446" s="73" t="s">
        <v>393</v>
      </c>
      <c r="C446" s="73" t="s">
        <v>363</v>
      </c>
      <c r="D446" s="73" t="s">
        <v>305</v>
      </c>
      <c r="E446" s="73" t="s">
        <v>463</v>
      </c>
      <c r="F446" s="57"/>
      <c r="G446" s="97"/>
      <c r="H446" s="57"/>
      <c r="I446" s="77">
        <v>2079933</v>
      </c>
      <c r="J446" s="78">
        <f>I446</f>
        <v>2079933</v>
      </c>
      <c r="K446" s="77">
        <v>20074.04</v>
      </c>
      <c r="L446" s="78">
        <f>J446+K446</f>
        <v>2100007.04</v>
      </c>
      <c r="M446" s="77"/>
      <c r="N446" s="78">
        <f>L446+M446</f>
        <v>2100007.04</v>
      </c>
      <c r="O446" s="77">
        <v>37682.56</v>
      </c>
      <c r="P446" s="78">
        <f>N446+O446</f>
        <v>2137689.6</v>
      </c>
      <c r="Q446" s="110"/>
      <c r="R446" s="78">
        <f>P446+Q446</f>
        <v>2137689.6</v>
      </c>
      <c r="S446" s="110">
        <v>7875.81</v>
      </c>
      <c r="T446" s="78">
        <f>R446+S446</f>
        <v>2145565.41</v>
      </c>
      <c r="U446" s="60"/>
      <c r="V446" s="60"/>
      <c r="W446" s="60"/>
      <c r="X446" s="60"/>
    </row>
    <row r="447" spans="1:24" s="1" customFormat="1" ht="78.75">
      <c r="A447" s="12" t="s">
        <v>64</v>
      </c>
      <c r="B447" s="73" t="s">
        <v>393</v>
      </c>
      <c r="C447" s="73" t="s">
        <v>363</v>
      </c>
      <c r="D447" s="73" t="s">
        <v>305</v>
      </c>
      <c r="E447" s="73" t="s">
        <v>42</v>
      </c>
      <c r="F447" s="57"/>
      <c r="G447" s="97"/>
      <c r="H447" s="57"/>
      <c r="I447" s="77">
        <v>1300360</v>
      </c>
      <c r="J447" s="78">
        <f>I447</f>
        <v>1300360</v>
      </c>
      <c r="K447" s="77"/>
      <c r="L447" s="78">
        <f>J447+K447</f>
        <v>1300360</v>
      </c>
      <c r="M447" s="77"/>
      <c r="N447" s="78">
        <f>L447+M447</f>
        <v>1300360</v>
      </c>
      <c r="O447" s="77">
        <v>16132.24</v>
      </c>
      <c r="P447" s="78">
        <f>N447+O447</f>
        <v>1316492.24</v>
      </c>
      <c r="Q447" s="110"/>
      <c r="R447" s="78">
        <f>P447+Q447</f>
        <v>1316492.24</v>
      </c>
      <c r="S447" s="110"/>
      <c r="T447" s="78">
        <f>R447+S447</f>
        <v>1316492.24</v>
      </c>
      <c r="U447" s="60"/>
      <c r="V447" s="60"/>
      <c r="W447" s="60"/>
      <c r="X447" s="60"/>
    </row>
    <row r="448" spans="1:24" s="1" customFormat="1" ht="71.25" customHeight="1">
      <c r="A448" s="35" t="s">
        <v>33</v>
      </c>
      <c r="B448" s="73" t="s">
        <v>393</v>
      </c>
      <c r="C448" s="73" t="s">
        <v>363</v>
      </c>
      <c r="D448" s="73" t="s">
        <v>32</v>
      </c>
      <c r="E448" s="73"/>
      <c r="F448" s="57">
        <f>F449</f>
        <v>0</v>
      </c>
      <c r="G448" s="97"/>
      <c r="H448" s="57">
        <f>H449+H450</f>
        <v>12622000</v>
      </c>
      <c r="I448" s="77"/>
      <c r="J448" s="57">
        <f>J449+J450</f>
        <v>12422000</v>
      </c>
      <c r="K448" s="77"/>
      <c r="L448" s="57">
        <f>L449+L450</f>
        <v>12422000</v>
      </c>
      <c r="M448" s="77"/>
      <c r="N448" s="57">
        <f>N449+N450</f>
        <v>12422000</v>
      </c>
      <c r="O448" s="77"/>
      <c r="P448" s="57">
        <f>P449+P450</f>
        <v>12034000</v>
      </c>
      <c r="Q448" s="110"/>
      <c r="R448" s="57">
        <f>R449+R450</f>
        <v>12034000</v>
      </c>
      <c r="S448" s="110"/>
      <c r="T448" s="57">
        <f>T449+T450</f>
        <v>12034000</v>
      </c>
      <c r="U448" s="60"/>
      <c r="V448" s="60"/>
      <c r="W448" s="60"/>
      <c r="X448" s="60"/>
    </row>
    <row r="449" spans="1:24" s="1" customFormat="1" ht="31.5">
      <c r="A449" s="12" t="s">
        <v>491</v>
      </c>
      <c r="B449" s="73" t="s">
        <v>393</v>
      </c>
      <c r="C449" s="73" t="s">
        <v>59</v>
      </c>
      <c r="D449" s="73" t="s">
        <v>32</v>
      </c>
      <c r="E449" s="73" t="s">
        <v>463</v>
      </c>
      <c r="F449" s="57">
        <v>0</v>
      </c>
      <c r="G449" s="97">
        <v>2188296</v>
      </c>
      <c r="H449" s="57">
        <f>12622000-3113000</f>
        <v>9509000</v>
      </c>
      <c r="I449" s="77">
        <v>-200000</v>
      </c>
      <c r="J449" s="78">
        <f>H449+I449</f>
        <v>9309000</v>
      </c>
      <c r="K449" s="77"/>
      <c r="L449" s="78">
        <f>J449+K449</f>
        <v>9309000</v>
      </c>
      <c r="M449" s="77"/>
      <c r="N449" s="78">
        <f>L449+M449</f>
        <v>9309000</v>
      </c>
      <c r="O449" s="77">
        <v>-462991.23</v>
      </c>
      <c r="P449" s="78">
        <f>N449+O449</f>
        <v>8846008.77</v>
      </c>
      <c r="Q449" s="110"/>
      <c r="R449" s="78">
        <f>P449+Q449</f>
        <v>8846008.77</v>
      </c>
      <c r="S449" s="110"/>
      <c r="T449" s="78">
        <f>R449+S449</f>
        <v>8846008.77</v>
      </c>
      <c r="U449" s="60"/>
      <c r="V449" s="60"/>
      <c r="W449" s="60"/>
      <c r="X449" s="60"/>
    </row>
    <row r="450" spans="1:24" s="1" customFormat="1" ht="31.5">
      <c r="A450" s="12" t="s">
        <v>36</v>
      </c>
      <c r="B450" s="73" t="s">
        <v>393</v>
      </c>
      <c r="C450" s="73" t="s">
        <v>363</v>
      </c>
      <c r="D450" s="73" t="s">
        <v>32</v>
      </c>
      <c r="E450" s="73" t="s">
        <v>35</v>
      </c>
      <c r="F450" s="57"/>
      <c r="G450" s="97"/>
      <c r="H450" s="57">
        <v>3113000</v>
      </c>
      <c r="I450" s="77"/>
      <c r="J450" s="78">
        <f>H450+I450</f>
        <v>3113000</v>
      </c>
      <c r="K450" s="77"/>
      <c r="L450" s="78">
        <f>J450+K450</f>
        <v>3113000</v>
      </c>
      <c r="M450" s="77"/>
      <c r="N450" s="78">
        <f>L450+M450</f>
        <v>3113000</v>
      </c>
      <c r="O450" s="77">
        <v>74991.23</v>
      </c>
      <c r="P450" s="78">
        <f>N450+O450</f>
        <v>3187991.23</v>
      </c>
      <c r="Q450" s="110"/>
      <c r="R450" s="78">
        <f>P450+Q450</f>
        <v>3187991.23</v>
      </c>
      <c r="S450" s="110"/>
      <c r="T450" s="78">
        <f>R450+S450</f>
        <v>3187991.23</v>
      </c>
      <c r="U450" s="60"/>
      <c r="V450" s="60"/>
      <c r="W450" s="60"/>
      <c r="X450" s="60"/>
    </row>
    <row r="451" spans="1:24" s="1" customFormat="1" ht="47.25">
      <c r="A451" s="21" t="s">
        <v>31</v>
      </c>
      <c r="B451" s="73" t="s">
        <v>393</v>
      </c>
      <c r="C451" s="73" t="s">
        <v>363</v>
      </c>
      <c r="D451" s="73" t="s">
        <v>34</v>
      </c>
      <c r="E451" s="73"/>
      <c r="F451" s="57"/>
      <c r="G451" s="97"/>
      <c r="H451" s="57">
        <f>H452+H453</f>
        <v>600000</v>
      </c>
      <c r="I451" s="77"/>
      <c r="J451" s="57">
        <f>J452+J453</f>
        <v>600000</v>
      </c>
      <c r="K451" s="77"/>
      <c r="L451" s="57">
        <f>L452+L453</f>
        <v>600000</v>
      </c>
      <c r="M451" s="77"/>
      <c r="N451" s="57">
        <f>N452+N453</f>
        <v>600000</v>
      </c>
      <c r="O451" s="77"/>
      <c r="P451" s="57">
        <f>P452+P453</f>
        <v>600000</v>
      </c>
      <c r="Q451" s="110"/>
      <c r="R451" s="57">
        <f>R452+R453</f>
        <v>600000</v>
      </c>
      <c r="S451" s="110"/>
      <c r="T451" s="57">
        <f>T452+T453</f>
        <v>600000</v>
      </c>
      <c r="U451" s="60"/>
      <c r="V451" s="60"/>
      <c r="W451" s="60"/>
      <c r="X451" s="60"/>
    </row>
    <row r="452" spans="1:24" s="1" customFormat="1" ht="31.5">
      <c r="A452" s="12" t="s">
        <v>491</v>
      </c>
      <c r="B452" s="73" t="s">
        <v>393</v>
      </c>
      <c r="C452" s="73" t="s">
        <v>363</v>
      </c>
      <c r="D452" s="73" t="s">
        <v>34</v>
      </c>
      <c r="E452" s="73" t="s">
        <v>463</v>
      </c>
      <c r="F452" s="57"/>
      <c r="G452" s="97"/>
      <c r="H452" s="57">
        <v>378750</v>
      </c>
      <c r="I452" s="77"/>
      <c r="J452" s="78">
        <f>H452+I452</f>
        <v>378750</v>
      </c>
      <c r="K452" s="77"/>
      <c r="L452" s="78">
        <f>J452+K452</f>
        <v>378750</v>
      </c>
      <c r="M452" s="77"/>
      <c r="N452" s="78">
        <f>L452+M452</f>
        <v>378750</v>
      </c>
      <c r="O452" s="77"/>
      <c r="P452" s="78">
        <f>N452+O452</f>
        <v>378750</v>
      </c>
      <c r="Q452" s="110"/>
      <c r="R452" s="78">
        <f>P452+Q452</f>
        <v>378750</v>
      </c>
      <c r="S452" s="110"/>
      <c r="T452" s="78">
        <f>R452+S452</f>
        <v>378750</v>
      </c>
      <c r="U452" s="60"/>
      <c r="V452" s="60"/>
      <c r="W452" s="60"/>
      <c r="X452" s="60"/>
    </row>
    <row r="453" spans="1:24" ht="36.75" customHeight="1">
      <c r="A453" s="12" t="s">
        <v>36</v>
      </c>
      <c r="B453" s="73" t="s">
        <v>393</v>
      </c>
      <c r="C453" s="73" t="s">
        <v>363</v>
      </c>
      <c r="D453" s="73" t="s">
        <v>34</v>
      </c>
      <c r="E453" s="73" t="s">
        <v>35</v>
      </c>
      <c r="F453" s="57"/>
      <c r="G453" s="97"/>
      <c r="H453" s="57">
        <v>221250</v>
      </c>
      <c r="I453" s="75"/>
      <c r="J453" s="76">
        <f>H453+I453</f>
        <v>221250</v>
      </c>
      <c r="K453" s="75"/>
      <c r="L453" s="76">
        <f>J453+K453</f>
        <v>221250</v>
      </c>
      <c r="M453" s="75"/>
      <c r="N453" s="76">
        <f>L453+M453</f>
        <v>221250</v>
      </c>
      <c r="O453" s="75"/>
      <c r="P453" s="76">
        <f>N453+O453</f>
        <v>221250</v>
      </c>
      <c r="Q453" s="50"/>
      <c r="R453" s="76">
        <f>P453+Q453</f>
        <v>221250</v>
      </c>
      <c r="S453" s="50"/>
      <c r="T453" s="76">
        <f>R453+S453</f>
        <v>221250</v>
      </c>
      <c r="U453" s="58"/>
      <c r="V453" s="58"/>
      <c r="W453" s="58"/>
      <c r="X453" s="58"/>
    </row>
    <row r="454" spans="1:24" ht="65.25" customHeight="1">
      <c r="A454" s="12" t="s">
        <v>37</v>
      </c>
      <c r="B454" s="73" t="s">
        <v>393</v>
      </c>
      <c r="C454" s="73" t="s">
        <v>363</v>
      </c>
      <c r="D454" s="73" t="s">
        <v>38</v>
      </c>
      <c r="E454" s="73"/>
      <c r="F454" s="57"/>
      <c r="G454" s="97"/>
      <c r="H454" s="57">
        <f>H455+H456+H457+H458+H459+H461</f>
        <v>97958690</v>
      </c>
      <c r="I454" s="75"/>
      <c r="J454" s="57">
        <f>J455+J456+J457+J458+J459+J461</f>
        <v>97902852.38</v>
      </c>
      <c r="K454" s="75"/>
      <c r="L454" s="57">
        <f>L455+L456+L457+L458+L459+L461</f>
        <v>97550084.99000001</v>
      </c>
      <c r="M454" s="75"/>
      <c r="N454" s="57">
        <f>N455+N456+N457+N458+N459+N461</f>
        <v>97550084.99000001</v>
      </c>
      <c r="O454" s="75"/>
      <c r="P454" s="57">
        <f>P455+P456+P457+P458+P459+P461+P460</f>
        <v>97170388.66</v>
      </c>
      <c r="Q454" s="50"/>
      <c r="R454" s="57">
        <f>R455+R456+R457+R458+R459+R461+R460</f>
        <v>97170388.66</v>
      </c>
      <c r="S454" s="50"/>
      <c r="T454" s="57">
        <f>T455+T456+T457+T458+T459+T461+T460+T462</f>
        <v>97343882.27000001</v>
      </c>
      <c r="U454" s="58"/>
      <c r="V454" s="58"/>
      <c r="W454" s="58"/>
      <c r="X454" s="58"/>
    </row>
    <row r="455" spans="1:24" ht="24" customHeight="1">
      <c r="A455" s="12" t="s">
        <v>465</v>
      </c>
      <c r="B455" s="73" t="s">
        <v>393</v>
      </c>
      <c r="C455" s="73" t="s">
        <v>363</v>
      </c>
      <c r="D455" s="73" t="s">
        <v>38</v>
      </c>
      <c r="E455" s="73" t="s">
        <v>460</v>
      </c>
      <c r="F455" s="57"/>
      <c r="G455" s="97"/>
      <c r="H455" s="57">
        <f>56612522+1822232</f>
        <v>58434754</v>
      </c>
      <c r="I455" s="75"/>
      <c r="J455" s="76">
        <f aca="true" t="shared" si="9" ref="J455:J461">H455+I455</f>
        <v>58434754</v>
      </c>
      <c r="K455" s="75"/>
      <c r="L455" s="76">
        <f>J455+K455</f>
        <v>58434754</v>
      </c>
      <c r="M455" s="75"/>
      <c r="N455" s="76">
        <f>L455+M455</f>
        <v>58434754</v>
      </c>
      <c r="O455" s="75">
        <v>-250414.41</v>
      </c>
      <c r="P455" s="76">
        <f aca="true" t="shared" si="10" ref="P455:T461">N455+O455</f>
        <v>58184339.59</v>
      </c>
      <c r="Q455" s="50"/>
      <c r="R455" s="76">
        <f t="shared" si="10"/>
        <v>58184339.59</v>
      </c>
      <c r="S455" s="50"/>
      <c r="T455" s="76">
        <f t="shared" si="10"/>
        <v>58184339.59</v>
      </c>
      <c r="U455" s="58"/>
      <c r="V455" s="58"/>
      <c r="W455" s="58"/>
      <c r="X455" s="58"/>
    </row>
    <row r="456" spans="1:24" ht="36.75" customHeight="1">
      <c r="A456" s="12" t="s">
        <v>466</v>
      </c>
      <c r="B456" s="73" t="s">
        <v>393</v>
      </c>
      <c r="C456" s="73" t="s">
        <v>363</v>
      </c>
      <c r="D456" s="73" t="s">
        <v>38</v>
      </c>
      <c r="E456" s="73" t="s">
        <v>461</v>
      </c>
      <c r="F456" s="57"/>
      <c r="G456" s="97"/>
      <c r="H456" s="57">
        <v>13490</v>
      </c>
      <c r="I456" s="75"/>
      <c r="J456" s="76">
        <f t="shared" si="9"/>
        <v>13490</v>
      </c>
      <c r="K456" s="75"/>
      <c r="L456" s="76">
        <f>J456+K456</f>
        <v>13490</v>
      </c>
      <c r="M456" s="75"/>
      <c r="N456" s="76">
        <f>L456+M456</f>
        <v>13490</v>
      </c>
      <c r="O456" s="75">
        <v>-950.67</v>
      </c>
      <c r="P456" s="76">
        <f t="shared" si="10"/>
        <v>12539.33</v>
      </c>
      <c r="Q456" s="50"/>
      <c r="R456" s="76">
        <f t="shared" si="10"/>
        <v>12539.33</v>
      </c>
      <c r="S456" s="50">
        <v>-502.88</v>
      </c>
      <c r="T456" s="76">
        <f t="shared" si="10"/>
        <v>12036.45</v>
      </c>
      <c r="U456" s="58"/>
      <c r="V456" s="58"/>
      <c r="W456" s="58"/>
      <c r="X456" s="58"/>
    </row>
    <row r="457" spans="1:20" ht="48.75" customHeight="1">
      <c r="A457" s="12" t="s">
        <v>467</v>
      </c>
      <c r="B457" s="73" t="s">
        <v>393</v>
      </c>
      <c r="C457" s="73" t="s">
        <v>363</v>
      </c>
      <c r="D457" s="73" t="s">
        <v>38</v>
      </c>
      <c r="E457" s="73" t="s">
        <v>462</v>
      </c>
      <c r="F457" s="57"/>
      <c r="G457" s="97"/>
      <c r="H457" s="57">
        <v>475356</v>
      </c>
      <c r="I457" s="75"/>
      <c r="J457" s="76">
        <f t="shared" si="9"/>
        <v>475356</v>
      </c>
      <c r="K457" s="75">
        <v>147553</v>
      </c>
      <c r="L457" s="76">
        <f>J457+K457</f>
        <v>622909</v>
      </c>
      <c r="M457" s="75"/>
      <c r="N457" s="76">
        <f>L457+M457</f>
        <v>622909</v>
      </c>
      <c r="O457" s="75">
        <v>-8124.84</v>
      </c>
      <c r="P457" s="76">
        <f t="shared" si="10"/>
        <v>614784.16</v>
      </c>
      <c r="Q457" s="50"/>
      <c r="R457" s="76">
        <f t="shared" si="10"/>
        <v>614784.16</v>
      </c>
      <c r="S457" s="50">
        <v>23746</v>
      </c>
      <c r="T457" s="76">
        <f t="shared" si="10"/>
        <v>638530.16</v>
      </c>
    </row>
    <row r="458" spans="1:20" ht="52.5" customHeight="1">
      <c r="A458" s="36" t="s">
        <v>39</v>
      </c>
      <c r="B458" s="73" t="s">
        <v>393</v>
      </c>
      <c r="C458" s="73" t="s">
        <v>363</v>
      </c>
      <c r="D458" s="73" t="s">
        <v>38</v>
      </c>
      <c r="E458" s="73" t="s">
        <v>470</v>
      </c>
      <c r="F458" s="57"/>
      <c r="G458" s="97"/>
      <c r="H458" s="57">
        <v>50000</v>
      </c>
      <c r="I458" s="75"/>
      <c r="J458" s="76">
        <f t="shared" si="9"/>
        <v>50000</v>
      </c>
      <c r="K458" s="75"/>
      <c r="L458" s="76">
        <f>J458+K458</f>
        <v>50000</v>
      </c>
      <c r="M458" s="75"/>
      <c r="N458" s="76">
        <f>L458+M458</f>
        <v>50000</v>
      </c>
      <c r="O458" s="75">
        <v>19220</v>
      </c>
      <c r="P458" s="76">
        <f t="shared" si="10"/>
        <v>69220</v>
      </c>
      <c r="Q458" s="50"/>
      <c r="R458" s="76">
        <f t="shared" si="10"/>
        <v>69220</v>
      </c>
      <c r="S458" s="50">
        <v>2400</v>
      </c>
      <c r="T458" s="76">
        <f t="shared" si="10"/>
        <v>71620</v>
      </c>
    </row>
    <row r="459" spans="1:20" ht="36.75" customHeight="1">
      <c r="A459" s="12" t="s">
        <v>491</v>
      </c>
      <c r="B459" s="73" t="s">
        <v>393</v>
      </c>
      <c r="C459" s="73" t="s">
        <v>363</v>
      </c>
      <c r="D459" s="73" t="s">
        <v>38</v>
      </c>
      <c r="E459" s="73" t="s">
        <v>463</v>
      </c>
      <c r="F459" s="57"/>
      <c r="G459" s="97"/>
      <c r="H459" s="57">
        <f>40801322-1836232</f>
        <v>38965090</v>
      </c>
      <c r="I459" s="75">
        <f>-183100+121562.38</f>
        <v>-61537.619999999995</v>
      </c>
      <c r="J459" s="76">
        <f t="shared" si="9"/>
        <v>38903552.38</v>
      </c>
      <c r="K459" s="75">
        <v>-500320.39</v>
      </c>
      <c r="L459" s="76">
        <f>J459+K459</f>
        <v>38403231.99</v>
      </c>
      <c r="M459" s="75"/>
      <c r="N459" s="76">
        <f>L459+M459</f>
        <v>38403231.99</v>
      </c>
      <c r="O459" s="75">
        <f>-249541.11+106614.7</f>
        <v>-142926.40999999997</v>
      </c>
      <c r="P459" s="76">
        <f t="shared" si="10"/>
        <v>38260305.580000006</v>
      </c>
      <c r="Q459" s="50"/>
      <c r="R459" s="76">
        <f t="shared" si="10"/>
        <v>38260305.580000006</v>
      </c>
      <c r="S459" s="50">
        <v>146950.49</v>
      </c>
      <c r="T459" s="76">
        <f t="shared" si="10"/>
        <v>38407256.07000001</v>
      </c>
    </row>
    <row r="460" spans="1:20" ht="84.75" customHeight="1">
      <c r="A460" s="12" t="s">
        <v>65</v>
      </c>
      <c r="B460" s="73" t="s">
        <v>393</v>
      </c>
      <c r="C460" s="73" t="s">
        <v>363</v>
      </c>
      <c r="D460" s="73" t="s">
        <v>38</v>
      </c>
      <c r="E460" s="73" t="s">
        <v>42</v>
      </c>
      <c r="F460" s="57"/>
      <c r="G460" s="97"/>
      <c r="H460" s="57"/>
      <c r="I460" s="75"/>
      <c r="J460" s="76"/>
      <c r="K460" s="75"/>
      <c r="L460" s="76"/>
      <c r="M460" s="75"/>
      <c r="N460" s="76"/>
      <c r="O460" s="75"/>
      <c r="P460" s="76">
        <f t="shared" si="10"/>
        <v>0</v>
      </c>
      <c r="Q460" s="50"/>
      <c r="R460" s="76">
        <f t="shared" si="10"/>
        <v>0</v>
      </c>
      <c r="S460" s="50"/>
      <c r="T460" s="76">
        <f t="shared" si="10"/>
        <v>0</v>
      </c>
    </row>
    <row r="461" spans="1:20" ht="36.75" customHeight="1">
      <c r="A461" s="37" t="s">
        <v>476</v>
      </c>
      <c r="B461" s="73" t="s">
        <v>393</v>
      </c>
      <c r="C461" s="73" t="s">
        <v>363</v>
      </c>
      <c r="D461" s="73" t="s">
        <v>38</v>
      </c>
      <c r="E461" s="73" t="s">
        <v>464</v>
      </c>
      <c r="F461" s="57"/>
      <c r="G461" s="97"/>
      <c r="H461" s="57">
        <f>6000+14000</f>
        <v>20000</v>
      </c>
      <c r="I461" s="75">
        <f>5700</f>
        <v>5700</v>
      </c>
      <c r="J461" s="76">
        <f t="shared" si="9"/>
        <v>25700</v>
      </c>
      <c r="K461" s="75"/>
      <c r="L461" s="76">
        <f>J461+K461</f>
        <v>25700</v>
      </c>
      <c r="M461" s="75"/>
      <c r="N461" s="76">
        <f>L461+M461</f>
        <v>25700</v>
      </c>
      <c r="O461" s="75">
        <v>3500</v>
      </c>
      <c r="P461" s="76">
        <f t="shared" si="10"/>
        <v>29200</v>
      </c>
      <c r="Q461" s="50"/>
      <c r="R461" s="76">
        <f t="shared" si="10"/>
        <v>29200</v>
      </c>
      <c r="S461" s="50"/>
      <c r="T461" s="76">
        <f t="shared" si="10"/>
        <v>29200</v>
      </c>
    </row>
    <row r="462" spans="1:20" ht="36.75" customHeight="1">
      <c r="A462" s="37" t="s">
        <v>472</v>
      </c>
      <c r="B462" s="73" t="s">
        <v>393</v>
      </c>
      <c r="C462" s="73" t="s">
        <v>363</v>
      </c>
      <c r="D462" s="73" t="s">
        <v>38</v>
      </c>
      <c r="E462" s="73" t="s">
        <v>471</v>
      </c>
      <c r="F462" s="57"/>
      <c r="G462" s="97"/>
      <c r="H462" s="57"/>
      <c r="I462" s="75"/>
      <c r="J462" s="76"/>
      <c r="K462" s="75"/>
      <c r="L462" s="76"/>
      <c r="M462" s="75"/>
      <c r="N462" s="76"/>
      <c r="O462" s="75"/>
      <c r="P462" s="76"/>
      <c r="Q462" s="50"/>
      <c r="R462" s="76"/>
      <c r="S462" s="50">
        <v>900</v>
      </c>
      <c r="T462" s="76">
        <f>R462+S462</f>
        <v>900</v>
      </c>
    </row>
    <row r="463" spans="1:20" ht="50.25" customHeight="1">
      <c r="A463" s="12" t="s">
        <v>40</v>
      </c>
      <c r="B463" s="73" t="s">
        <v>393</v>
      </c>
      <c r="C463" s="73" t="s">
        <v>363</v>
      </c>
      <c r="D463" s="73" t="s">
        <v>41</v>
      </c>
      <c r="E463" s="73"/>
      <c r="F463" s="57"/>
      <c r="G463" s="97"/>
      <c r="H463" s="57">
        <f>H464</f>
        <v>22391349</v>
      </c>
      <c r="I463" s="75"/>
      <c r="J463" s="57">
        <f>J464</f>
        <v>22391349</v>
      </c>
      <c r="K463" s="75"/>
      <c r="L463" s="57">
        <f>L464+L465</f>
        <v>22786783.63</v>
      </c>
      <c r="M463" s="75"/>
      <c r="N463" s="57">
        <f>N464+N465</f>
        <v>22786783.63</v>
      </c>
      <c r="O463" s="75"/>
      <c r="P463" s="57">
        <f>P464+P465</f>
        <v>23465229.13</v>
      </c>
      <c r="Q463" s="50"/>
      <c r="R463" s="57">
        <f>R464+R465</f>
        <v>23465229.13</v>
      </c>
      <c r="S463" s="50"/>
      <c r="T463" s="57">
        <f>T464+T465</f>
        <v>23465229.13</v>
      </c>
    </row>
    <row r="464" spans="1:20" ht="85.5" customHeight="1">
      <c r="A464" s="66" t="s">
        <v>65</v>
      </c>
      <c r="B464" s="73" t="s">
        <v>393</v>
      </c>
      <c r="C464" s="73" t="s">
        <v>363</v>
      </c>
      <c r="D464" s="73" t="s">
        <v>41</v>
      </c>
      <c r="E464" s="73" t="s">
        <v>42</v>
      </c>
      <c r="F464" s="57"/>
      <c r="G464" s="97"/>
      <c r="H464" s="57">
        <v>22391349</v>
      </c>
      <c r="I464" s="75"/>
      <c r="J464" s="76">
        <f>H464+I464</f>
        <v>22391349</v>
      </c>
      <c r="K464" s="75"/>
      <c r="L464" s="76">
        <f>J464+K464</f>
        <v>22391349</v>
      </c>
      <c r="M464" s="75"/>
      <c r="N464" s="76">
        <f>L464+M464</f>
        <v>22391349</v>
      </c>
      <c r="O464" s="75">
        <v>678445.5</v>
      </c>
      <c r="P464" s="76">
        <f>N464+O464</f>
        <v>23069794.5</v>
      </c>
      <c r="Q464" s="50"/>
      <c r="R464" s="76">
        <f>P464+Q464</f>
        <v>23069794.5</v>
      </c>
      <c r="S464" s="50"/>
      <c r="T464" s="76">
        <f>R464+S464</f>
        <v>23069794.5</v>
      </c>
    </row>
    <row r="465" spans="1:20" ht="38.25" customHeight="1">
      <c r="A465" s="66" t="s">
        <v>36</v>
      </c>
      <c r="B465" s="73" t="s">
        <v>393</v>
      </c>
      <c r="C465" s="73" t="s">
        <v>363</v>
      </c>
      <c r="D465" s="73" t="s">
        <v>41</v>
      </c>
      <c r="E465" s="73" t="s">
        <v>35</v>
      </c>
      <c r="F465" s="57"/>
      <c r="G465" s="97"/>
      <c r="H465" s="57"/>
      <c r="I465" s="75"/>
      <c r="J465" s="76"/>
      <c r="K465" s="75">
        <v>395434.63</v>
      </c>
      <c r="L465" s="76">
        <f>J465+K465</f>
        <v>395434.63</v>
      </c>
      <c r="M465" s="75"/>
      <c r="N465" s="76">
        <f>L465+M465</f>
        <v>395434.63</v>
      </c>
      <c r="O465" s="75"/>
      <c r="P465" s="76">
        <f>N465+O465</f>
        <v>395434.63</v>
      </c>
      <c r="Q465" s="50"/>
      <c r="R465" s="76">
        <f>P465+Q465</f>
        <v>395434.63</v>
      </c>
      <c r="S465" s="50"/>
      <c r="T465" s="76">
        <f>R465+S465</f>
        <v>395434.63</v>
      </c>
    </row>
    <row r="466" spans="1:20" ht="54" customHeight="1">
      <c r="A466" s="12" t="s">
        <v>43</v>
      </c>
      <c r="B466" s="73" t="s">
        <v>393</v>
      </c>
      <c r="C466" s="73" t="s">
        <v>363</v>
      </c>
      <c r="D466" s="73" t="s">
        <v>44</v>
      </c>
      <c r="E466" s="73"/>
      <c r="F466" s="57"/>
      <c r="G466" s="97"/>
      <c r="H466" s="57">
        <f>H467</f>
        <v>2259915</v>
      </c>
      <c r="I466" s="75"/>
      <c r="J466" s="57">
        <f>J467</f>
        <v>2259915</v>
      </c>
      <c r="K466" s="75"/>
      <c r="L466" s="57">
        <f>L467</f>
        <v>2259950</v>
      </c>
      <c r="M466" s="75"/>
      <c r="N466" s="57">
        <f>N467</f>
        <v>2259950</v>
      </c>
      <c r="O466" s="75"/>
      <c r="P466" s="57">
        <f>P467</f>
        <v>2259950</v>
      </c>
      <c r="Q466" s="50"/>
      <c r="R466" s="57">
        <f>R467</f>
        <v>2259950</v>
      </c>
      <c r="S466" s="50"/>
      <c r="T466" s="57">
        <f>T467</f>
        <v>2259950</v>
      </c>
    </row>
    <row r="467" spans="1:20" ht="36" customHeight="1">
      <c r="A467" s="12" t="s">
        <v>491</v>
      </c>
      <c r="B467" s="73" t="s">
        <v>393</v>
      </c>
      <c r="C467" s="73" t="s">
        <v>363</v>
      </c>
      <c r="D467" s="73" t="s">
        <v>44</v>
      </c>
      <c r="E467" s="73" t="s">
        <v>463</v>
      </c>
      <c r="F467" s="57"/>
      <c r="G467" s="97"/>
      <c r="H467" s="57">
        <v>2259915</v>
      </c>
      <c r="I467" s="75"/>
      <c r="J467" s="76">
        <f>H467+I467</f>
        <v>2259915</v>
      </c>
      <c r="K467" s="75">
        <v>35</v>
      </c>
      <c r="L467" s="76">
        <f>J467+K467</f>
        <v>2259950</v>
      </c>
      <c r="M467" s="75"/>
      <c r="N467" s="76">
        <f>L467+M467</f>
        <v>2259950</v>
      </c>
      <c r="O467" s="75"/>
      <c r="P467" s="76">
        <f>N467+O467</f>
        <v>2259950</v>
      </c>
      <c r="Q467" s="50"/>
      <c r="R467" s="76">
        <f>P467+Q467</f>
        <v>2259950</v>
      </c>
      <c r="S467" s="50"/>
      <c r="T467" s="76">
        <f>R467+S467</f>
        <v>2259950</v>
      </c>
    </row>
    <row r="468" spans="1:20" ht="33" customHeight="1">
      <c r="A468" s="12" t="s">
        <v>46</v>
      </c>
      <c r="B468" s="73" t="s">
        <v>393</v>
      </c>
      <c r="C468" s="73" t="s">
        <v>363</v>
      </c>
      <c r="D468" s="73" t="s">
        <v>45</v>
      </c>
      <c r="E468" s="73"/>
      <c r="F468" s="57"/>
      <c r="G468" s="97"/>
      <c r="H468" s="57">
        <f>H469</f>
        <v>75000</v>
      </c>
      <c r="I468" s="75"/>
      <c r="J468" s="57">
        <f>J469</f>
        <v>75000</v>
      </c>
      <c r="K468" s="75"/>
      <c r="L468" s="57">
        <f>L469</f>
        <v>75000</v>
      </c>
      <c r="M468" s="75"/>
      <c r="N468" s="57">
        <f>N469</f>
        <v>75000</v>
      </c>
      <c r="O468" s="75"/>
      <c r="P468" s="57">
        <f>P469</f>
        <v>75000</v>
      </c>
      <c r="Q468" s="50"/>
      <c r="R468" s="57">
        <f>R469</f>
        <v>75000</v>
      </c>
      <c r="S468" s="50"/>
      <c r="T468" s="57">
        <f>T469</f>
        <v>75000</v>
      </c>
    </row>
    <row r="469" spans="1:20" ht="33.75" customHeight="1">
      <c r="A469" s="12" t="s">
        <v>491</v>
      </c>
      <c r="B469" s="73" t="s">
        <v>393</v>
      </c>
      <c r="C469" s="73" t="s">
        <v>363</v>
      </c>
      <c r="D469" s="73" t="s">
        <v>45</v>
      </c>
      <c r="E469" s="73" t="s">
        <v>463</v>
      </c>
      <c r="F469" s="57"/>
      <c r="G469" s="97"/>
      <c r="H469" s="57">
        <v>75000</v>
      </c>
      <c r="I469" s="75"/>
      <c r="J469" s="76">
        <f>H469+I469</f>
        <v>75000</v>
      </c>
      <c r="K469" s="75"/>
      <c r="L469" s="76">
        <f>J469+K469</f>
        <v>75000</v>
      </c>
      <c r="M469" s="75"/>
      <c r="N469" s="76">
        <f>L469+M469</f>
        <v>75000</v>
      </c>
      <c r="O469" s="75"/>
      <c r="P469" s="76">
        <f>N469+O469</f>
        <v>75000</v>
      </c>
      <c r="Q469" s="50"/>
      <c r="R469" s="76">
        <f>P469+Q469</f>
        <v>75000</v>
      </c>
      <c r="S469" s="50"/>
      <c r="T469" s="76">
        <f>R469+S469</f>
        <v>75000</v>
      </c>
    </row>
    <row r="470" spans="1:20" ht="147" customHeight="1">
      <c r="A470" s="12" t="s">
        <v>335</v>
      </c>
      <c r="B470" s="73" t="s">
        <v>393</v>
      </c>
      <c r="C470" s="73" t="s">
        <v>363</v>
      </c>
      <c r="D470" s="73" t="s">
        <v>332</v>
      </c>
      <c r="E470" s="73"/>
      <c r="F470" s="57"/>
      <c r="G470" s="97"/>
      <c r="H470" s="57"/>
      <c r="I470" s="75"/>
      <c r="J470" s="76">
        <f>J471</f>
        <v>41000</v>
      </c>
      <c r="K470" s="75"/>
      <c r="L470" s="76">
        <f>L471</f>
        <v>41000</v>
      </c>
      <c r="M470" s="75"/>
      <c r="N470" s="76">
        <f>N471</f>
        <v>41000</v>
      </c>
      <c r="O470" s="75"/>
      <c r="P470" s="76">
        <f>P471</f>
        <v>41000</v>
      </c>
      <c r="Q470" s="50"/>
      <c r="R470" s="76">
        <f>R471</f>
        <v>41000</v>
      </c>
      <c r="S470" s="50"/>
      <c r="T470" s="76">
        <f>T471</f>
        <v>41000</v>
      </c>
    </row>
    <row r="471" spans="1:20" ht="33.75" customHeight="1">
      <c r="A471" s="12" t="s">
        <v>36</v>
      </c>
      <c r="B471" s="73" t="s">
        <v>393</v>
      </c>
      <c r="C471" s="73" t="s">
        <v>363</v>
      </c>
      <c r="D471" s="73" t="s">
        <v>332</v>
      </c>
      <c r="E471" s="73" t="s">
        <v>35</v>
      </c>
      <c r="F471" s="57"/>
      <c r="G471" s="97"/>
      <c r="H471" s="57"/>
      <c r="I471" s="75">
        <v>41000</v>
      </c>
      <c r="J471" s="76">
        <f>I471</f>
        <v>41000</v>
      </c>
      <c r="K471" s="75"/>
      <c r="L471" s="76">
        <f>J471+K471</f>
        <v>41000</v>
      </c>
      <c r="M471" s="75"/>
      <c r="N471" s="76">
        <f>L471+M471</f>
        <v>41000</v>
      </c>
      <c r="O471" s="75"/>
      <c r="P471" s="76">
        <f>N471+O471</f>
        <v>41000</v>
      </c>
      <c r="Q471" s="50"/>
      <c r="R471" s="76">
        <f>P471+Q471</f>
        <v>41000</v>
      </c>
      <c r="S471" s="50"/>
      <c r="T471" s="76">
        <f>R471+S471</f>
        <v>41000</v>
      </c>
    </row>
    <row r="472" spans="1:20" ht="64.5" customHeight="1">
      <c r="A472" s="12" t="s">
        <v>47</v>
      </c>
      <c r="B472" s="73" t="s">
        <v>393</v>
      </c>
      <c r="C472" s="73" t="s">
        <v>363</v>
      </c>
      <c r="D472" s="73" t="s">
        <v>48</v>
      </c>
      <c r="E472" s="73"/>
      <c r="F472" s="57" t="e">
        <f>F474+#REF!+F475+F476+F478</f>
        <v>#REF!</v>
      </c>
      <c r="G472" s="73"/>
      <c r="H472" s="57">
        <f>H473</f>
        <v>17632640</v>
      </c>
      <c r="I472" s="75"/>
      <c r="J472" s="57">
        <f>J473</f>
        <v>17632640</v>
      </c>
      <c r="K472" s="75"/>
      <c r="L472" s="57">
        <f>L473</f>
        <v>17632640</v>
      </c>
      <c r="M472" s="75"/>
      <c r="N472" s="57">
        <f>N473</f>
        <v>17632640</v>
      </c>
      <c r="O472" s="75"/>
      <c r="P472" s="57">
        <f>P473</f>
        <v>17632640</v>
      </c>
      <c r="Q472" s="50"/>
      <c r="R472" s="57">
        <f>R473</f>
        <v>17632640</v>
      </c>
      <c r="S472" s="50"/>
      <c r="T472" s="57">
        <f>T473</f>
        <v>17632640</v>
      </c>
    </row>
    <row r="473" spans="1:20" ht="67.5" customHeight="1">
      <c r="A473" s="12" t="s">
        <v>49</v>
      </c>
      <c r="B473" s="73" t="s">
        <v>393</v>
      </c>
      <c r="C473" s="73" t="s">
        <v>363</v>
      </c>
      <c r="D473" s="73" t="s">
        <v>50</v>
      </c>
      <c r="E473" s="73"/>
      <c r="F473" s="57"/>
      <c r="G473" s="73"/>
      <c r="H473" s="57">
        <f>H474+H475+H476+H478</f>
        <v>17632640</v>
      </c>
      <c r="I473" s="75"/>
      <c r="J473" s="57">
        <f>J474+J475+J476+J478</f>
        <v>17632640</v>
      </c>
      <c r="K473" s="75"/>
      <c r="L473" s="57">
        <f>L474+L475+L476+L478</f>
        <v>17632640</v>
      </c>
      <c r="M473" s="75"/>
      <c r="N473" s="57">
        <f>N474+N475+N476+N478</f>
        <v>17632640</v>
      </c>
      <c r="O473" s="75"/>
      <c r="P473" s="57">
        <f>P474+P475+P476+P478</f>
        <v>17632640</v>
      </c>
      <c r="Q473" s="50"/>
      <c r="R473" s="57">
        <f>R474+R475+R476+R478</f>
        <v>17632640</v>
      </c>
      <c r="S473" s="50"/>
      <c r="T473" s="57">
        <f>T474+T475+T476+T478+T477</f>
        <v>17632640</v>
      </c>
    </row>
    <row r="474" spans="1:20" ht="15.75">
      <c r="A474" s="12" t="s">
        <v>465</v>
      </c>
      <c r="B474" s="73" t="s">
        <v>393</v>
      </c>
      <c r="C474" s="73" t="s">
        <v>363</v>
      </c>
      <c r="D474" s="73" t="s">
        <v>50</v>
      </c>
      <c r="E474" s="73" t="s">
        <v>460</v>
      </c>
      <c r="F474" s="57">
        <v>0</v>
      </c>
      <c r="G474" s="97">
        <v>14730288</v>
      </c>
      <c r="H474" s="57">
        <v>16229463</v>
      </c>
      <c r="I474" s="75"/>
      <c r="J474" s="76">
        <f>H474+I474</f>
        <v>16229463</v>
      </c>
      <c r="K474" s="75"/>
      <c r="L474" s="76">
        <f>J474+K474</f>
        <v>16229463</v>
      </c>
      <c r="M474" s="75"/>
      <c r="N474" s="76">
        <f>L474+M474</f>
        <v>16229463</v>
      </c>
      <c r="O474" s="75"/>
      <c r="P474" s="76">
        <f>N474+O474</f>
        <v>16229463</v>
      </c>
      <c r="Q474" s="50"/>
      <c r="R474" s="76">
        <f>P474+Q474</f>
        <v>16229463</v>
      </c>
      <c r="S474" s="50"/>
      <c r="T474" s="76">
        <f>R474+S474</f>
        <v>16229463</v>
      </c>
    </row>
    <row r="475" spans="1:20" ht="47.25">
      <c r="A475" s="12" t="s">
        <v>467</v>
      </c>
      <c r="B475" s="73" t="s">
        <v>393</v>
      </c>
      <c r="C475" s="73" t="s">
        <v>363</v>
      </c>
      <c r="D475" s="73" t="s">
        <v>50</v>
      </c>
      <c r="E475" s="73" t="s">
        <v>462</v>
      </c>
      <c r="F475" s="57">
        <v>0</v>
      </c>
      <c r="G475" s="97">
        <v>126639</v>
      </c>
      <c r="H475" s="57">
        <v>136042</v>
      </c>
      <c r="I475" s="75"/>
      <c r="J475" s="76">
        <f>H475+I475</f>
        <v>136042</v>
      </c>
      <c r="K475" s="75">
        <v>-11900</v>
      </c>
      <c r="L475" s="76">
        <f>J475+K475</f>
        <v>124142</v>
      </c>
      <c r="M475" s="75"/>
      <c r="N475" s="76">
        <f>L475+M475</f>
        <v>124142</v>
      </c>
      <c r="O475" s="75"/>
      <c r="P475" s="76">
        <f>N475+O475</f>
        <v>124142</v>
      </c>
      <c r="Q475" s="50"/>
      <c r="R475" s="76">
        <f>P475+Q475</f>
        <v>124142</v>
      </c>
      <c r="S475" s="50">
        <v>4244</v>
      </c>
      <c r="T475" s="76">
        <f>R475+S475</f>
        <v>128386</v>
      </c>
    </row>
    <row r="476" spans="1:20" ht="31.5">
      <c r="A476" s="12" t="s">
        <v>491</v>
      </c>
      <c r="B476" s="73" t="s">
        <v>393</v>
      </c>
      <c r="C476" s="73" t="s">
        <v>363</v>
      </c>
      <c r="D476" s="73" t="s">
        <v>50</v>
      </c>
      <c r="E476" s="73" t="s">
        <v>463</v>
      </c>
      <c r="F476" s="57">
        <v>0</v>
      </c>
      <c r="G476" s="97">
        <v>1326708</v>
      </c>
      <c r="H476" s="57">
        <v>1137135</v>
      </c>
      <c r="I476" s="75"/>
      <c r="J476" s="76">
        <f>H476+I476</f>
        <v>1137135</v>
      </c>
      <c r="K476" s="75">
        <v>11900</v>
      </c>
      <c r="L476" s="76">
        <f>J476+K476</f>
        <v>1149035</v>
      </c>
      <c r="M476" s="75"/>
      <c r="N476" s="76">
        <f>L476+M476</f>
        <v>1149035</v>
      </c>
      <c r="O476" s="75"/>
      <c r="P476" s="76">
        <f>N476+O476</f>
        <v>1149035</v>
      </c>
      <c r="Q476" s="50"/>
      <c r="R476" s="76">
        <f>P476+Q476</f>
        <v>1149035</v>
      </c>
      <c r="S476" s="50">
        <v>-8244</v>
      </c>
      <c r="T476" s="76">
        <f>R476+S476</f>
        <v>1140791</v>
      </c>
    </row>
    <row r="477" spans="1:20" ht="31.5">
      <c r="A477" s="12" t="s">
        <v>476</v>
      </c>
      <c r="B477" s="73"/>
      <c r="C477" s="73"/>
      <c r="D477" s="73"/>
      <c r="E477" s="73" t="s">
        <v>464</v>
      </c>
      <c r="F477" s="57"/>
      <c r="G477" s="97"/>
      <c r="H477" s="57"/>
      <c r="I477" s="75"/>
      <c r="J477" s="76"/>
      <c r="K477" s="75"/>
      <c r="L477" s="76"/>
      <c r="M477" s="75"/>
      <c r="N477" s="76"/>
      <c r="O477" s="75"/>
      <c r="P477" s="76"/>
      <c r="Q477" s="50"/>
      <c r="R477" s="76"/>
      <c r="S477" s="50">
        <v>4000</v>
      </c>
      <c r="T477" s="76">
        <f>R477+S477</f>
        <v>4000</v>
      </c>
    </row>
    <row r="478" spans="1:20" ht="15.75">
      <c r="A478" s="12" t="s">
        <v>472</v>
      </c>
      <c r="B478" s="73" t="s">
        <v>393</v>
      </c>
      <c r="C478" s="73" t="s">
        <v>363</v>
      </c>
      <c r="D478" s="73" t="s">
        <v>50</v>
      </c>
      <c r="E478" s="73" t="s">
        <v>471</v>
      </c>
      <c r="F478" s="57">
        <v>0</v>
      </c>
      <c r="G478" s="97">
        <v>180000</v>
      </c>
      <c r="H478" s="57">
        <v>130000</v>
      </c>
      <c r="I478" s="75"/>
      <c r="J478" s="76">
        <f>H478+I478</f>
        <v>130000</v>
      </c>
      <c r="K478" s="75"/>
      <c r="L478" s="76">
        <f>J478+K478</f>
        <v>130000</v>
      </c>
      <c r="M478" s="75"/>
      <c r="N478" s="76">
        <f>L478+M478</f>
        <v>130000</v>
      </c>
      <c r="O478" s="75"/>
      <c r="P478" s="76">
        <f>N478+O478</f>
        <v>130000</v>
      </c>
      <c r="Q478" s="50"/>
      <c r="R478" s="76">
        <f>P478+Q478</f>
        <v>130000</v>
      </c>
      <c r="S478" s="50"/>
      <c r="T478" s="76">
        <f>R478+S478</f>
        <v>130000</v>
      </c>
    </row>
    <row r="479" spans="1:20" ht="85.5" customHeight="1">
      <c r="A479" s="12" t="s">
        <v>67</v>
      </c>
      <c r="B479" s="73" t="s">
        <v>393</v>
      </c>
      <c r="C479" s="73" t="s">
        <v>363</v>
      </c>
      <c r="D479" s="73" t="s">
        <v>69</v>
      </c>
      <c r="E479" s="73"/>
      <c r="F479" s="57" t="e">
        <f>F480+#REF!</f>
        <v>#REF!</v>
      </c>
      <c r="G479" s="73"/>
      <c r="H479" s="57">
        <f>H480+H483+H486</f>
        <v>5064200</v>
      </c>
      <c r="I479" s="75"/>
      <c r="J479" s="57">
        <f>J480+J483+J486+J491+J495+J500</f>
        <v>6363400</v>
      </c>
      <c r="K479" s="76"/>
      <c r="L479" s="57">
        <f>L480+L483+L486+L491+L495+L500+L502</f>
        <v>7567159.9</v>
      </c>
      <c r="M479" s="75"/>
      <c r="N479" s="57">
        <f>N480+N483+N486+N491+N495+N500+N502</f>
        <v>7567159.9</v>
      </c>
      <c r="O479" s="75"/>
      <c r="P479" s="57">
        <f>P480+P483+P486+P491+P495+P500+P502+P488</f>
        <v>6407025</v>
      </c>
      <c r="Q479" s="50"/>
      <c r="R479" s="57">
        <f>R480+R483+R486+R491+R495+R500+R502+R488+R497</f>
        <v>16958025</v>
      </c>
      <c r="S479" s="50"/>
      <c r="T479" s="57">
        <f>T480+T483+T486+T491+T495+T500+T502+T488+T497</f>
        <v>16567424.620000001</v>
      </c>
    </row>
    <row r="480" spans="1:20" ht="68.25" customHeight="1">
      <c r="A480" s="21" t="s">
        <v>68</v>
      </c>
      <c r="B480" s="73" t="s">
        <v>393</v>
      </c>
      <c r="C480" s="73" t="s">
        <v>363</v>
      </c>
      <c r="D480" s="73" t="s">
        <v>70</v>
      </c>
      <c r="E480" s="73"/>
      <c r="F480" s="57" t="e">
        <f>F486+#REF!</f>
        <v>#REF!</v>
      </c>
      <c r="G480" s="73"/>
      <c r="H480" s="57">
        <f>H481+H482</f>
        <v>3000000</v>
      </c>
      <c r="I480" s="75"/>
      <c r="J480" s="57">
        <f>J481+J482</f>
        <v>0</v>
      </c>
      <c r="K480" s="75"/>
      <c r="L480" s="57">
        <f>L481+L482</f>
        <v>370134.9</v>
      </c>
      <c r="M480" s="75"/>
      <c r="N480" s="57">
        <f>N481+N482</f>
        <v>370134.9</v>
      </c>
      <c r="O480" s="75"/>
      <c r="P480" s="57">
        <f>P481+P482</f>
        <v>160000</v>
      </c>
      <c r="Q480" s="50"/>
      <c r="R480" s="57">
        <f>R481+R482</f>
        <v>160000</v>
      </c>
      <c r="S480" s="50"/>
      <c r="T480" s="57">
        <f>T481+T482</f>
        <v>160000</v>
      </c>
    </row>
    <row r="481" spans="1:20" ht="52.5" customHeight="1">
      <c r="A481" s="36" t="s">
        <v>39</v>
      </c>
      <c r="B481" s="73" t="s">
        <v>393</v>
      </c>
      <c r="C481" s="73" t="s">
        <v>363</v>
      </c>
      <c r="D481" s="73" t="s">
        <v>70</v>
      </c>
      <c r="E481" s="73" t="s">
        <v>470</v>
      </c>
      <c r="F481" s="57"/>
      <c r="G481" s="73"/>
      <c r="H481" s="57">
        <v>2290427</v>
      </c>
      <c r="I481" s="75">
        <v>-2290427</v>
      </c>
      <c r="J481" s="76">
        <f>H481+I481</f>
        <v>0</v>
      </c>
      <c r="K481" s="75">
        <v>370134.9</v>
      </c>
      <c r="L481" s="76">
        <f>J481+K481</f>
        <v>370134.9</v>
      </c>
      <c r="M481" s="75"/>
      <c r="N481" s="76">
        <f>L481+M481</f>
        <v>370134.9</v>
      </c>
      <c r="O481" s="75">
        <f>-370134.9+160000</f>
        <v>-210134.90000000002</v>
      </c>
      <c r="P481" s="76">
        <f>N481+O481</f>
        <v>160000</v>
      </c>
      <c r="Q481" s="50"/>
      <c r="R481" s="76">
        <f>P481+Q481</f>
        <v>160000</v>
      </c>
      <c r="S481" s="50"/>
      <c r="T481" s="76">
        <f>R481+S481</f>
        <v>160000</v>
      </c>
    </row>
    <row r="482" spans="1:20" ht="36.75" customHeight="1">
      <c r="A482" s="12" t="s">
        <v>36</v>
      </c>
      <c r="B482" s="73" t="s">
        <v>393</v>
      </c>
      <c r="C482" s="73" t="s">
        <v>363</v>
      </c>
      <c r="D482" s="73" t="s">
        <v>70</v>
      </c>
      <c r="E482" s="73" t="s">
        <v>35</v>
      </c>
      <c r="F482" s="57"/>
      <c r="G482" s="73"/>
      <c r="H482" s="57">
        <v>709573</v>
      </c>
      <c r="I482" s="75">
        <v>-709573</v>
      </c>
      <c r="J482" s="76">
        <f>H482+I482</f>
        <v>0</v>
      </c>
      <c r="K482" s="75"/>
      <c r="L482" s="76">
        <f>J482+K482</f>
        <v>0</v>
      </c>
      <c r="M482" s="75"/>
      <c r="N482" s="76">
        <f>L482+M482</f>
        <v>0</v>
      </c>
      <c r="O482" s="75"/>
      <c r="P482" s="76">
        <f>N482+O482</f>
        <v>0</v>
      </c>
      <c r="Q482" s="50"/>
      <c r="R482" s="76">
        <f>P482+Q482</f>
        <v>0</v>
      </c>
      <c r="S482" s="50"/>
      <c r="T482" s="76">
        <f>R482+S482</f>
        <v>0</v>
      </c>
    </row>
    <row r="483" spans="1:20" ht="101.25" customHeight="1">
      <c r="A483" s="35" t="s">
        <v>91</v>
      </c>
      <c r="B483" s="73" t="s">
        <v>393</v>
      </c>
      <c r="C483" s="73" t="s">
        <v>363</v>
      </c>
      <c r="D483" s="73" t="s">
        <v>92</v>
      </c>
      <c r="E483" s="73"/>
      <c r="F483" s="57"/>
      <c r="G483" s="73"/>
      <c r="H483" s="57">
        <f>H484+H485</f>
        <v>1850000</v>
      </c>
      <c r="I483" s="75"/>
      <c r="J483" s="57">
        <f>J484+J485</f>
        <v>1850000</v>
      </c>
      <c r="K483" s="75"/>
      <c r="L483" s="57">
        <f>L484+L485</f>
        <v>1850000</v>
      </c>
      <c r="M483" s="75"/>
      <c r="N483" s="57">
        <f>N484+N485</f>
        <v>1850000</v>
      </c>
      <c r="O483" s="75"/>
      <c r="P483" s="57">
        <f>P484+P485</f>
        <v>750000</v>
      </c>
      <c r="Q483" s="50"/>
      <c r="R483" s="57">
        <f>R484+R485</f>
        <v>750000</v>
      </c>
      <c r="S483" s="50"/>
      <c r="T483" s="57">
        <f>T484+T485</f>
        <v>750000</v>
      </c>
    </row>
    <row r="484" spans="1:20" ht="32.25" customHeight="1">
      <c r="A484" s="12" t="s">
        <v>491</v>
      </c>
      <c r="B484" s="73" t="s">
        <v>393</v>
      </c>
      <c r="C484" s="73" t="s">
        <v>363</v>
      </c>
      <c r="D484" s="73" t="s">
        <v>92</v>
      </c>
      <c r="E484" s="73" t="s">
        <v>463</v>
      </c>
      <c r="F484" s="57"/>
      <c r="G484" s="73"/>
      <c r="H484" s="57">
        <v>830000</v>
      </c>
      <c r="I484" s="75"/>
      <c r="J484" s="76">
        <f>H484+I484</f>
        <v>830000</v>
      </c>
      <c r="K484" s="75"/>
      <c r="L484" s="76">
        <f>J484+K484</f>
        <v>830000</v>
      </c>
      <c r="M484" s="75"/>
      <c r="N484" s="76">
        <f>L484+M484</f>
        <v>830000</v>
      </c>
      <c r="O484" s="75">
        <v>-830000</v>
      </c>
      <c r="P484" s="76">
        <f>N484+O484</f>
        <v>0</v>
      </c>
      <c r="Q484" s="50"/>
      <c r="R484" s="76">
        <f>P484+Q484</f>
        <v>0</v>
      </c>
      <c r="S484" s="50"/>
      <c r="T484" s="76">
        <f>R484+S484</f>
        <v>0</v>
      </c>
    </row>
    <row r="485" spans="1:20" ht="31.5" customHeight="1">
      <c r="A485" s="12" t="s">
        <v>36</v>
      </c>
      <c r="B485" s="73" t="s">
        <v>393</v>
      </c>
      <c r="C485" s="73" t="s">
        <v>363</v>
      </c>
      <c r="D485" s="73" t="s">
        <v>92</v>
      </c>
      <c r="E485" s="73" t="s">
        <v>35</v>
      </c>
      <c r="F485" s="57"/>
      <c r="G485" s="73"/>
      <c r="H485" s="57">
        <v>1020000</v>
      </c>
      <c r="I485" s="75"/>
      <c r="J485" s="76">
        <f>H485+I485</f>
        <v>1020000</v>
      </c>
      <c r="K485" s="75"/>
      <c r="L485" s="76">
        <f>J485+K485</f>
        <v>1020000</v>
      </c>
      <c r="M485" s="75"/>
      <c r="N485" s="76">
        <f>L485+M485</f>
        <v>1020000</v>
      </c>
      <c r="O485" s="75">
        <v>-270000</v>
      </c>
      <c r="P485" s="76">
        <f>N485+O485</f>
        <v>750000</v>
      </c>
      <c r="Q485" s="50"/>
      <c r="R485" s="76">
        <f>P485+Q485</f>
        <v>750000</v>
      </c>
      <c r="S485" s="50"/>
      <c r="T485" s="76">
        <f>R485+S485</f>
        <v>750000</v>
      </c>
    </row>
    <row r="486" spans="1:20" ht="84" customHeight="1">
      <c r="A486" s="35" t="s">
        <v>93</v>
      </c>
      <c r="B486" s="73" t="s">
        <v>393</v>
      </c>
      <c r="C486" s="73" t="s">
        <v>363</v>
      </c>
      <c r="D486" s="73" t="s">
        <v>94</v>
      </c>
      <c r="E486" s="73"/>
      <c r="F486" s="57" t="e">
        <f>F487+#REF!+F526</f>
        <v>#REF!</v>
      </c>
      <c r="G486" s="73"/>
      <c r="H486" s="57">
        <f>H487</f>
        <v>214200</v>
      </c>
      <c r="I486" s="75"/>
      <c r="J486" s="57">
        <f>J487</f>
        <v>214200</v>
      </c>
      <c r="K486" s="75"/>
      <c r="L486" s="57">
        <f>L487</f>
        <v>140100</v>
      </c>
      <c r="M486" s="75"/>
      <c r="N486" s="57">
        <f>N487</f>
        <v>140100</v>
      </c>
      <c r="O486" s="75"/>
      <c r="P486" s="57">
        <f>P487</f>
        <v>140100</v>
      </c>
      <c r="Q486" s="50"/>
      <c r="R486" s="57">
        <f>R487</f>
        <v>140100</v>
      </c>
      <c r="S486" s="50"/>
      <c r="T486" s="57">
        <f>T487</f>
        <v>140100</v>
      </c>
    </row>
    <row r="487" spans="1:20" ht="31.5">
      <c r="A487" s="12" t="s">
        <v>491</v>
      </c>
      <c r="B487" s="73" t="s">
        <v>393</v>
      </c>
      <c r="C487" s="73" t="s">
        <v>363</v>
      </c>
      <c r="D487" s="73" t="s">
        <v>94</v>
      </c>
      <c r="E487" s="73" t="s">
        <v>463</v>
      </c>
      <c r="F487" s="57">
        <v>0</v>
      </c>
      <c r="G487" s="97">
        <v>1701600</v>
      </c>
      <c r="H487" s="57">
        <v>214200</v>
      </c>
      <c r="I487" s="75"/>
      <c r="J487" s="76">
        <f>H487+I487</f>
        <v>214200</v>
      </c>
      <c r="K487" s="75">
        <v>-74100</v>
      </c>
      <c r="L487" s="76">
        <f>J487+K487</f>
        <v>140100</v>
      </c>
      <c r="M487" s="75"/>
      <c r="N487" s="76">
        <f>L487+M487</f>
        <v>140100</v>
      </c>
      <c r="O487" s="75"/>
      <c r="P487" s="76">
        <f>N487+O487</f>
        <v>140100</v>
      </c>
      <c r="Q487" s="50"/>
      <c r="R487" s="76">
        <f>P487+Q487</f>
        <v>140100</v>
      </c>
      <c r="S487" s="50"/>
      <c r="T487" s="76">
        <f>R487+S487</f>
        <v>140100</v>
      </c>
    </row>
    <row r="488" spans="1:20" ht="31.5">
      <c r="A488" s="12" t="s">
        <v>544</v>
      </c>
      <c r="B488" s="73" t="s">
        <v>393</v>
      </c>
      <c r="C488" s="73" t="s">
        <v>363</v>
      </c>
      <c r="D488" s="73" t="s">
        <v>546</v>
      </c>
      <c r="E488" s="73"/>
      <c r="F488" s="57"/>
      <c r="G488" s="97"/>
      <c r="H488" s="57"/>
      <c r="I488" s="75"/>
      <c r="J488" s="76"/>
      <c r="K488" s="75"/>
      <c r="L488" s="76"/>
      <c r="M488" s="75"/>
      <c r="N488" s="76"/>
      <c r="O488" s="75"/>
      <c r="P488" s="76">
        <f>P489</f>
        <v>400000</v>
      </c>
      <c r="Q488" s="50"/>
      <c r="R488" s="76">
        <f>R489+R490</f>
        <v>4700000</v>
      </c>
      <c r="S488" s="50"/>
      <c r="T488" s="76">
        <f>T489+T490</f>
        <v>4700000</v>
      </c>
    </row>
    <row r="489" spans="1:20" ht="31.5">
      <c r="A489" s="12" t="s">
        <v>545</v>
      </c>
      <c r="B489" s="73" t="s">
        <v>393</v>
      </c>
      <c r="C489" s="73" t="s">
        <v>363</v>
      </c>
      <c r="D489" s="73" t="s">
        <v>546</v>
      </c>
      <c r="E489" s="73" t="s">
        <v>35</v>
      </c>
      <c r="F489" s="57"/>
      <c r="G489" s="97"/>
      <c r="H489" s="57"/>
      <c r="I489" s="75"/>
      <c r="J489" s="76"/>
      <c r="K489" s="75"/>
      <c r="L489" s="76"/>
      <c r="M489" s="75"/>
      <c r="N489" s="76"/>
      <c r="O489" s="75">
        <v>400000</v>
      </c>
      <c r="P489" s="76">
        <f>N489+O489</f>
        <v>400000</v>
      </c>
      <c r="Q489" s="50">
        <v>-400000</v>
      </c>
      <c r="R489" s="76">
        <f>P489+Q489</f>
        <v>0</v>
      </c>
      <c r="S489" s="50"/>
      <c r="T489" s="76">
        <f>R489+S489</f>
        <v>0</v>
      </c>
    </row>
    <row r="490" spans="1:20" ht="85.5" customHeight="1">
      <c r="A490" s="12" t="s">
        <v>78</v>
      </c>
      <c r="B490" s="73" t="s">
        <v>393</v>
      </c>
      <c r="C490" s="73" t="s">
        <v>363</v>
      </c>
      <c r="D490" s="73" t="s">
        <v>546</v>
      </c>
      <c r="E490" s="73" t="s">
        <v>77</v>
      </c>
      <c r="F490" s="57"/>
      <c r="G490" s="97"/>
      <c r="H490" s="57"/>
      <c r="I490" s="75"/>
      <c r="J490" s="76"/>
      <c r="K490" s="75"/>
      <c r="L490" s="76"/>
      <c r="M490" s="75"/>
      <c r="N490" s="76"/>
      <c r="O490" s="75"/>
      <c r="P490" s="76"/>
      <c r="Q490" s="50">
        <v>4700000</v>
      </c>
      <c r="R490" s="76">
        <f>P490+Q490</f>
        <v>4700000</v>
      </c>
      <c r="S490" s="50"/>
      <c r="T490" s="76">
        <f>R490+S490</f>
        <v>4700000</v>
      </c>
    </row>
    <row r="491" spans="1:20" ht="63">
      <c r="A491" s="14" t="s">
        <v>319</v>
      </c>
      <c r="B491" s="73" t="s">
        <v>393</v>
      </c>
      <c r="C491" s="73" t="s">
        <v>363</v>
      </c>
      <c r="D491" s="73" t="s">
        <v>318</v>
      </c>
      <c r="E491" s="73"/>
      <c r="F491" s="57"/>
      <c r="G491" s="97"/>
      <c r="H491" s="57"/>
      <c r="I491" s="75"/>
      <c r="J491" s="76">
        <f>J492+J494</f>
        <v>3339000</v>
      </c>
      <c r="K491" s="75"/>
      <c r="L491" s="76">
        <f>L492+L494</f>
        <v>3339000</v>
      </c>
      <c r="M491" s="75"/>
      <c r="N491" s="76">
        <f>N492+N494</f>
        <v>3339000</v>
      </c>
      <c r="O491" s="75"/>
      <c r="P491" s="76">
        <f>P492+P494+P493</f>
        <v>3339000.0000000005</v>
      </c>
      <c r="Q491" s="50"/>
      <c r="R491" s="76">
        <f>R492+R494+R493</f>
        <v>3339000.0000000005</v>
      </c>
      <c r="S491" s="50"/>
      <c r="T491" s="76">
        <f>T492+T494+T493</f>
        <v>2948399.62</v>
      </c>
    </row>
    <row r="492" spans="1:20" ht="47.25">
      <c r="A492" s="36" t="s">
        <v>39</v>
      </c>
      <c r="B492" s="73" t="s">
        <v>393</v>
      </c>
      <c r="C492" s="73" t="s">
        <v>363</v>
      </c>
      <c r="D492" s="73" t="s">
        <v>318</v>
      </c>
      <c r="E492" s="73" t="s">
        <v>470</v>
      </c>
      <c r="F492" s="57"/>
      <c r="G492" s="97"/>
      <c r="H492" s="57"/>
      <c r="I492" s="75">
        <v>1827215</v>
      </c>
      <c r="J492" s="76">
        <f>I492</f>
        <v>1827215</v>
      </c>
      <c r="K492" s="75">
        <v>625734</v>
      </c>
      <c r="L492" s="76">
        <f>J492+K492</f>
        <v>2452949</v>
      </c>
      <c r="M492" s="75"/>
      <c r="N492" s="76">
        <f>L492+M492</f>
        <v>2452949</v>
      </c>
      <c r="O492" s="75">
        <v>-239510.3</v>
      </c>
      <c r="P492" s="76">
        <f>N492+O492</f>
        <v>2213438.7</v>
      </c>
      <c r="Q492" s="50"/>
      <c r="R492" s="76">
        <f>P492+Q492</f>
        <v>2213438.7</v>
      </c>
      <c r="S492" s="50">
        <v>-348183.92</v>
      </c>
      <c r="T492" s="76">
        <f>R492+S492</f>
        <v>1865254.7800000003</v>
      </c>
    </row>
    <row r="493" spans="1:20" ht="31.5">
      <c r="A493" s="12" t="s">
        <v>491</v>
      </c>
      <c r="B493" s="73" t="s">
        <v>393</v>
      </c>
      <c r="C493" s="73" t="s">
        <v>363</v>
      </c>
      <c r="D493" s="73" t="s">
        <v>318</v>
      </c>
      <c r="E493" s="73" t="s">
        <v>463</v>
      </c>
      <c r="F493" s="57"/>
      <c r="G493" s="97"/>
      <c r="H493" s="57"/>
      <c r="I493" s="75"/>
      <c r="J493" s="76"/>
      <c r="K493" s="75"/>
      <c r="L493" s="76"/>
      <c r="M493" s="75"/>
      <c r="N493" s="76"/>
      <c r="O493" s="75">
        <v>307595.66</v>
      </c>
      <c r="P493" s="76">
        <f>N493+O493</f>
        <v>307595.66</v>
      </c>
      <c r="Q493" s="50"/>
      <c r="R493" s="76">
        <f>P493+Q493</f>
        <v>307595.66</v>
      </c>
      <c r="S493" s="50">
        <v>-42407.46</v>
      </c>
      <c r="T493" s="76">
        <f>R493+S493</f>
        <v>265188.19999999995</v>
      </c>
    </row>
    <row r="494" spans="1:20" ht="31.5">
      <c r="A494" s="12" t="s">
        <v>36</v>
      </c>
      <c r="B494" s="73" t="s">
        <v>393</v>
      </c>
      <c r="C494" s="73" t="s">
        <v>363</v>
      </c>
      <c r="D494" s="73" t="s">
        <v>318</v>
      </c>
      <c r="E494" s="73" t="s">
        <v>35</v>
      </c>
      <c r="F494" s="57"/>
      <c r="G494" s="97"/>
      <c r="H494" s="57"/>
      <c r="I494" s="75">
        <v>1511785</v>
      </c>
      <c r="J494" s="76">
        <f>I494</f>
        <v>1511785</v>
      </c>
      <c r="K494" s="75">
        <v>-625734</v>
      </c>
      <c r="L494" s="76">
        <f>J494+K494</f>
        <v>886051</v>
      </c>
      <c r="M494" s="75"/>
      <c r="N494" s="76">
        <f>L494+M494</f>
        <v>886051</v>
      </c>
      <c r="O494" s="75">
        <v>-68085.36</v>
      </c>
      <c r="P494" s="76">
        <f>N494+O494</f>
        <v>817965.64</v>
      </c>
      <c r="Q494" s="50"/>
      <c r="R494" s="76">
        <f>P494+Q494</f>
        <v>817965.64</v>
      </c>
      <c r="S494" s="50">
        <v>-9</v>
      </c>
      <c r="T494" s="76">
        <f>R494+S494</f>
        <v>817956.64</v>
      </c>
    </row>
    <row r="495" spans="1:20" ht="94.5">
      <c r="A495" s="12" t="s">
        <v>327</v>
      </c>
      <c r="B495" s="73" t="s">
        <v>393</v>
      </c>
      <c r="C495" s="73" t="s">
        <v>363</v>
      </c>
      <c r="D495" s="73" t="s">
        <v>321</v>
      </c>
      <c r="E495" s="73"/>
      <c r="F495" s="57"/>
      <c r="G495" s="97"/>
      <c r="H495" s="57"/>
      <c r="I495" s="75"/>
      <c r="J495" s="76">
        <f>J496</f>
        <v>750000</v>
      </c>
      <c r="K495" s="75"/>
      <c r="L495" s="76">
        <f>L496</f>
        <v>750000</v>
      </c>
      <c r="M495" s="75"/>
      <c r="N495" s="76">
        <f>N496</f>
        <v>750000</v>
      </c>
      <c r="O495" s="75"/>
      <c r="P495" s="76">
        <f>P496</f>
        <v>750000</v>
      </c>
      <c r="Q495" s="50"/>
      <c r="R495" s="76">
        <f>R496</f>
        <v>750000</v>
      </c>
      <c r="S495" s="50"/>
      <c r="T495" s="76">
        <f>T496</f>
        <v>750000</v>
      </c>
    </row>
    <row r="496" spans="1:20" ht="31.5">
      <c r="A496" s="12" t="s">
        <v>36</v>
      </c>
      <c r="B496" s="73" t="s">
        <v>393</v>
      </c>
      <c r="C496" s="73" t="s">
        <v>363</v>
      </c>
      <c r="D496" s="73" t="s">
        <v>321</v>
      </c>
      <c r="E496" s="73" t="s">
        <v>35</v>
      </c>
      <c r="F496" s="57"/>
      <c r="G496" s="97"/>
      <c r="H496" s="57"/>
      <c r="I496" s="75">
        <v>750000</v>
      </c>
      <c r="J496" s="76">
        <f>I496</f>
        <v>750000</v>
      </c>
      <c r="K496" s="75"/>
      <c r="L496" s="76">
        <f>J496+K496</f>
        <v>750000</v>
      </c>
      <c r="M496" s="75"/>
      <c r="N496" s="76">
        <f>L496+M496</f>
        <v>750000</v>
      </c>
      <c r="O496" s="75"/>
      <c r="P496" s="76">
        <f>N496+O496</f>
        <v>750000</v>
      </c>
      <c r="Q496" s="50"/>
      <c r="R496" s="76">
        <f>P496+Q496</f>
        <v>750000</v>
      </c>
      <c r="S496" s="50"/>
      <c r="T496" s="76">
        <f>R496+S496</f>
        <v>750000</v>
      </c>
    </row>
    <row r="497" spans="1:20" ht="62.25" customHeight="1">
      <c r="A497" s="12" t="s">
        <v>75</v>
      </c>
      <c r="B497" s="73" t="s">
        <v>393</v>
      </c>
      <c r="C497" s="73" t="s">
        <v>363</v>
      </c>
      <c r="D497" s="73" t="s">
        <v>76</v>
      </c>
      <c r="E497" s="73"/>
      <c r="F497" s="57"/>
      <c r="G497" s="97"/>
      <c r="H497" s="57"/>
      <c r="I497" s="75"/>
      <c r="J497" s="76"/>
      <c r="K497" s="75"/>
      <c r="L497" s="76"/>
      <c r="M497" s="75"/>
      <c r="N497" s="76"/>
      <c r="O497" s="75"/>
      <c r="P497" s="76"/>
      <c r="Q497" s="50"/>
      <c r="R497" s="76">
        <f>R498</f>
        <v>6251000</v>
      </c>
      <c r="S497" s="50"/>
      <c r="T497" s="76">
        <f>T498+T499</f>
        <v>6251000</v>
      </c>
    </row>
    <row r="498" spans="1:20" ht="35.25" customHeight="1">
      <c r="A498" s="12" t="s">
        <v>36</v>
      </c>
      <c r="B498" s="73" t="s">
        <v>393</v>
      </c>
      <c r="C498" s="73" t="s">
        <v>363</v>
      </c>
      <c r="D498" s="73" t="s">
        <v>76</v>
      </c>
      <c r="E498" s="73" t="s">
        <v>35</v>
      </c>
      <c r="F498" s="57"/>
      <c r="G498" s="97"/>
      <c r="H498" s="57"/>
      <c r="I498" s="75"/>
      <c r="J498" s="76"/>
      <c r="K498" s="75"/>
      <c r="L498" s="76"/>
      <c r="M498" s="75"/>
      <c r="N498" s="76"/>
      <c r="O498" s="75"/>
      <c r="P498" s="76"/>
      <c r="Q498" s="50">
        <v>6251000</v>
      </c>
      <c r="R498" s="76">
        <f>P498+Q498</f>
        <v>6251000</v>
      </c>
      <c r="S498" s="50">
        <v>-6251000</v>
      </c>
      <c r="T498" s="76">
        <f>R498+S498</f>
        <v>0</v>
      </c>
    </row>
    <row r="499" spans="1:20" ht="35.25" customHeight="1">
      <c r="A499" s="12" t="s">
        <v>334</v>
      </c>
      <c r="B499" s="73" t="s">
        <v>393</v>
      </c>
      <c r="C499" s="73" t="s">
        <v>363</v>
      </c>
      <c r="D499" s="73" t="s">
        <v>76</v>
      </c>
      <c r="E499" s="73" t="s">
        <v>77</v>
      </c>
      <c r="F499" s="57"/>
      <c r="G499" s="97"/>
      <c r="H499" s="57"/>
      <c r="I499" s="75"/>
      <c r="J499" s="76"/>
      <c r="K499" s="75"/>
      <c r="L499" s="76"/>
      <c r="M499" s="75"/>
      <c r="N499" s="76"/>
      <c r="O499" s="75"/>
      <c r="P499" s="76"/>
      <c r="Q499" s="50"/>
      <c r="R499" s="76"/>
      <c r="S499" s="50">
        <v>6251000</v>
      </c>
      <c r="T499" s="76">
        <f>R499+S499</f>
        <v>6251000</v>
      </c>
    </row>
    <row r="500" spans="1:20" ht="49.5" customHeight="1">
      <c r="A500" s="12" t="s">
        <v>307</v>
      </c>
      <c r="B500" s="73" t="s">
        <v>393</v>
      </c>
      <c r="C500" s="73" t="s">
        <v>363</v>
      </c>
      <c r="D500" s="73" t="s">
        <v>306</v>
      </c>
      <c r="E500" s="73"/>
      <c r="F500" s="57"/>
      <c r="G500" s="97"/>
      <c r="H500" s="57"/>
      <c r="I500" s="75"/>
      <c r="J500" s="76">
        <f>J501</f>
        <v>210200</v>
      </c>
      <c r="K500" s="75"/>
      <c r="L500" s="76">
        <f>L501</f>
        <v>210200</v>
      </c>
      <c r="M500" s="75"/>
      <c r="N500" s="76">
        <f>N501</f>
        <v>210200</v>
      </c>
      <c r="O500" s="75"/>
      <c r="P500" s="76">
        <f>P501</f>
        <v>210200</v>
      </c>
      <c r="Q500" s="50"/>
      <c r="R500" s="76">
        <f>R501</f>
        <v>210200</v>
      </c>
      <c r="S500" s="50"/>
      <c r="T500" s="76">
        <f>T501</f>
        <v>210200</v>
      </c>
    </row>
    <row r="501" spans="1:20" ht="31.5">
      <c r="A501" s="12" t="s">
        <v>491</v>
      </c>
      <c r="B501" s="73" t="s">
        <v>393</v>
      </c>
      <c r="C501" s="73" t="s">
        <v>363</v>
      </c>
      <c r="D501" s="73" t="s">
        <v>306</v>
      </c>
      <c r="E501" s="73" t="s">
        <v>463</v>
      </c>
      <c r="F501" s="57"/>
      <c r="G501" s="97"/>
      <c r="H501" s="57"/>
      <c r="I501" s="75"/>
      <c r="J501" s="76">
        <v>210200</v>
      </c>
      <c r="K501" s="75"/>
      <c r="L501" s="76">
        <v>210200</v>
      </c>
      <c r="M501" s="75"/>
      <c r="N501" s="76">
        <v>210200</v>
      </c>
      <c r="O501" s="75"/>
      <c r="P501" s="76">
        <v>210200</v>
      </c>
      <c r="Q501" s="50"/>
      <c r="R501" s="76">
        <v>210200</v>
      </c>
      <c r="S501" s="50"/>
      <c r="T501" s="76">
        <v>210200</v>
      </c>
    </row>
    <row r="502" spans="1:20" ht="94.5">
      <c r="A502" s="12" t="s">
        <v>269</v>
      </c>
      <c r="B502" s="73" t="s">
        <v>393</v>
      </c>
      <c r="C502" s="73" t="s">
        <v>363</v>
      </c>
      <c r="D502" s="73" t="s">
        <v>268</v>
      </c>
      <c r="E502" s="73"/>
      <c r="F502" s="57"/>
      <c r="G502" s="97"/>
      <c r="H502" s="57"/>
      <c r="I502" s="75"/>
      <c r="J502" s="76"/>
      <c r="K502" s="75"/>
      <c r="L502" s="76">
        <f>L503</f>
        <v>907725</v>
      </c>
      <c r="M502" s="75"/>
      <c r="N502" s="76">
        <f>N503</f>
        <v>907725</v>
      </c>
      <c r="O502" s="75"/>
      <c r="P502" s="76">
        <f>P503+P504</f>
        <v>657725</v>
      </c>
      <c r="Q502" s="50"/>
      <c r="R502" s="76">
        <f>R503+R504</f>
        <v>657725</v>
      </c>
      <c r="S502" s="50"/>
      <c r="T502" s="76">
        <f>T503+T504</f>
        <v>657725</v>
      </c>
    </row>
    <row r="503" spans="1:20" ht="47.25">
      <c r="A503" s="12" t="s">
        <v>270</v>
      </c>
      <c r="B503" s="73" t="s">
        <v>393</v>
      </c>
      <c r="C503" s="73" t="s">
        <v>363</v>
      </c>
      <c r="D503" s="73" t="s">
        <v>268</v>
      </c>
      <c r="E503" s="73" t="s">
        <v>470</v>
      </c>
      <c r="F503" s="57"/>
      <c r="G503" s="97"/>
      <c r="H503" s="57"/>
      <c r="I503" s="75"/>
      <c r="J503" s="76"/>
      <c r="K503" s="75">
        <v>907725</v>
      </c>
      <c r="L503" s="76">
        <f>J503+K503</f>
        <v>907725</v>
      </c>
      <c r="M503" s="75"/>
      <c r="N503" s="76">
        <f>L503+M503</f>
        <v>907725</v>
      </c>
      <c r="O503" s="75">
        <v>-350000</v>
      </c>
      <c r="P503" s="76">
        <f>N503+O503</f>
        <v>557725</v>
      </c>
      <c r="Q503" s="50"/>
      <c r="R503" s="76">
        <f>P503+Q503</f>
        <v>557725</v>
      </c>
      <c r="S503" s="50"/>
      <c r="T503" s="76">
        <f>R503+S503</f>
        <v>557725</v>
      </c>
    </row>
    <row r="504" spans="1:20" ht="31.5">
      <c r="A504" s="12" t="s">
        <v>491</v>
      </c>
      <c r="B504" s="73" t="s">
        <v>393</v>
      </c>
      <c r="C504" s="73" t="s">
        <v>363</v>
      </c>
      <c r="D504" s="73" t="s">
        <v>268</v>
      </c>
      <c r="E504" s="73" t="s">
        <v>463</v>
      </c>
      <c r="F504" s="57"/>
      <c r="G504" s="97"/>
      <c r="H504" s="57"/>
      <c r="I504" s="75"/>
      <c r="J504" s="76"/>
      <c r="K504" s="75"/>
      <c r="L504" s="76"/>
      <c r="M504" s="75"/>
      <c r="N504" s="76"/>
      <c r="O504" s="75">
        <v>100000</v>
      </c>
      <c r="P504" s="76">
        <f>N504+O504</f>
        <v>100000</v>
      </c>
      <c r="Q504" s="50"/>
      <c r="R504" s="76">
        <f>P504+Q504</f>
        <v>100000</v>
      </c>
      <c r="S504" s="50"/>
      <c r="T504" s="76">
        <f>R504+S504</f>
        <v>100000</v>
      </c>
    </row>
    <row r="505" spans="1:20" ht="20.25" customHeight="1">
      <c r="A505" s="12" t="s">
        <v>73</v>
      </c>
      <c r="B505" s="73" t="s">
        <v>393</v>
      </c>
      <c r="C505" s="73" t="s">
        <v>363</v>
      </c>
      <c r="D505" s="73" t="s">
        <v>119</v>
      </c>
      <c r="E505" s="73"/>
      <c r="F505" s="57"/>
      <c r="G505" s="97"/>
      <c r="H505" s="57"/>
      <c r="I505" s="75"/>
      <c r="J505" s="76"/>
      <c r="K505" s="75"/>
      <c r="L505" s="76"/>
      <c r="M505" s="75"/>
      <c r="N505" s="76"/>
      <c r="O505" s="75"/>
      <c r="P505" s="76"/>
      <c r="Q505" s="50"/>
      <c r="R505" s="76">
        <f>R506</f>
        <v>77568</v>
      </c>
      <c r="S505" s="50"/>
      <c r="T505" s="76">
        <f>T506</f>
        <v>77568</v>
      </c>
    </row>
    <row r="506" spans="1:20" ht="24.75" customHeight="1">
      <c r="A506" s="12" t="s">
        <v>74</v>
      </c>
      <c r="B506" s="73" t="s">
        <v>393</v>
      </c>
      <c r="C506" s="73" t="s">
        <v>363</v>
      </c>
      <c r="D506" s="73" t="s">
        <v>264</v>
      </c>
      <c r="E506" s="73"/>
      <c r="F506" s="57"/>
      <c r="G506" s="97"/>
      <c r="H506" s="57"/>
      <c r="I506" s="75"/>
      <c r="J506" s="76"/>
      <c r="K506" s="75"/>
      <c r="L506" s="76"/>
      <c r="M506" s="75"/>
      <c r="N506" s="76"/>
      <c r="O506" s="75"/>
      <c r="P506" s="76"/>
      <c r="Q506" s="50"/>
      <c r="R506" s="76">
        <f>R507</f>
        <v>77568</v>
      </c>
      <c r="S506" s="50"/>
      <c r="T506" s="76">
        <f>T507</f>
        <v>77568</v>
      </c>
    </row>
    <row r="507" spans="1:20" ht="37.5" customHeight="1">
      <c r="A507" s="12" t="s">
        <v>491</v>
      </c>
      <c r="B507" s="73" t="s">
        <v>393</v>
      </c>
      <c r="C507" s="73" t="s">
        <v>363</v>
      </c>
      <c r="D507" s="73" t="s">
        <v>264</v>
      </c>
      <c r="E507" s="73" t="s">
        <v>463</v>
      </c>
      <c r="F507" s="57"/>
      <c r="G507" s="97"/>
      <c r="H507" s="57"/>
      <c r="I507" s="75"/>
      <c r="J507" s="76"/>
      <c r="K507" s="75"/>
      <c r="L507" s="76"/>
      <c r="M507" s="75"/>
      <c r="N507" s="76"/>
      <c r="O507" s="75"/>
      <c r="P507" s="76"/>
      <c r="Q507" s="50">
        <v>77568</v>
      </c>
      <c r="R507" s="76">
        <f>P507+Q507</f>
        <v>77568</v>
      </c>
      <c r="S507" s="50"/>
      <c r="T507" s="76">
        <f>R507+S507</f>
        <v>77568</v>
      </c>
    </row>
    <row r="508" spans="1:20" ht="31.5">
      <c r="A508" s="12" t="s">
        <v>413</v>
      </c>
      <c r="B508" s="73" t="s">
        <v>393</v>
      </c>
      <c r="C508" s="73" t="s">
        <v>364</v>
      </c>
      <c r="D508" s="73"/>
      <c r="E508" s="73"/>
      <c r="F508" s="57"/>
      <c r="G508" s="97"/>
      <c r="H508" s="57">
        <f>H510+H519</f>
        <v>12673570</v>
      </c>
      <c r="I508" s="75"/>
      <c r="J508" s="57">
        <f>J510+J519</f>
        <v>13918670</v>
      </c>
      <c r="K508" s="76"/>
      <c r="L508" s="57">
        <f>L510+L519</f>
        <v>13918670</v>
      </c>
      <c r="M508" s="75"/>
      <c r="N508" s="57">
        <f>N510+N519</f>
        <v>13918670</v>
      </c>
      <c r="O508" s="75"/>
      <c r="P508" s="57">
        <f>P510+P519</f>
        <v>13918670</v>
      </c>
      <c r="Q508" s="50"/>
      <c r="R508" s="57">
        <f>R510+R519</f>
        <v>13918670</v>
      </c>
      <c r="S508" s="50"/>
      <c r="T508" s="57">
        <f>T510+T519</f>
        <v>14007887.7</v>
      </c>
    </row>
    <row r="509" spans="1:20" ht="53.25" customHeight="1">
      <c r="A509" s="12" t="s">
        <v>222</v>
      </c>
      <c r="B509" s="73" t="s">
        <v>393</v>
      </c>
      <c r="C509" s="73" t="s">
        <v>364</v>
      </c>
      <c r="D509" s="73" t="s">
        <v>451</v>
      </c>
      <c r="E509" s="73"/>
      <c r="F509" s="57"/>
      <c r="G509" s="97"/>
      <c r="H509" s="57">
        <f>H508</f>
        <v>12673570</v>
      </c>
      <c r="I509" s="75"/>
      <c r="J509" s="57">
        <f>J508</f>
        <v>13918670</v>
      </c>
      <c r="K509" s="75"/>
      <c r="L509" s="57">
        <f>L508</f>
        <v>13918670</v>
      </c>
      <c r="M509" s="75"/>
      <c r="N509" s="57">
        <f>N508</f>
        <v>13918670</v>
      </c>
      <c r="O509" s="75"/>
      <c r="P509" s="57">
        <f>P508</f>
        <v>13918670</v>
      </c>
      <c r="Q509" s="50"/>
      <c r="R509" s="57">
        <f>R508</f>
        <v>13918670</v>
      </c>
      <c r="S509" s="50"/>
      <c r="T509" s="57">
        <f>T508</f>
        <v>14007887.7</v>
      </c>
    </row>
    <row r="510" spans="1:20" ht="69" customHeight="1">
      <c r="A510" s="12" t="s">
        <v>51</v>
      </c>
      <c r="B510" s="73" t="s">
        <v>393</v>
      </c>
      <c r="C510" s="73" t="s">
        <v>364</v>
      </c>
      <c r="D510" s="73" t="s">
        <v>52</v>
      </c>
      <c r="E510" s="73"/>
      <c r="F510" s="57" t="e">
        <f>#REF!+F511+F513+#REF!+#REF!+#REF!+#REF!</f>
        <v>#REF!</v>
      </c>
      <c r="G510" s="73"/>
      <c r="H510" s="57">
        <f>H511+H513+H516</f>
        <v>11406570</v>
      </c>
      <c r="I510" s="75"/>
      <c r="J510" s="57">
        <f>J511+J513+J516</f>
        <v>11406570</v>
      </c>
      <c r="K510" s="75"/>
      <c r="L510" s="57">
        <f>L511+L513+L516</f>
        <v>11406570</v>
      </c>
      <c r="M510" s="75"/>
      <c r="N510" s="57">
        <f>N511+N513+N516</f>
        <v>11406570</v>
      </c>
      <c r="O510" s="75"/>
      <c r="P510" s="57">
        <f>P511+P513+P516</f>
        <v>11406570</v>
      </c>
      <c r="Q510" s="50"/>
      <c r="R510" s="57">
        <f>R511+R513+R516</f>
        <v>11406570</v>
      </c>
      <c r="S510" s="50"/>
      <c r="T510" s="57">
        <f>T511+T513+T516</f>
        <v>11495787.7</v>
      </c>
    </row>
    <row r="511" spans="1:20" ht="48" customHeight="1">
      <c r="A511" s="11" t="s">
        <v>53</v>
      </c>
      <c r="B511" s="83" t="s">
        <v>393</v>
      </c>
      <c r="C511" s="83" t="s">
        <v>364</v>
      </c>
      <c r="D511" s="83" t="s">
        <v>54</v>
      </c>
      <c r="E511" s="83"/>
      <c r="F511" s="57">
        <f>F512</f>
        <v>0</v>
      </c>
      <c r="G511" s="83"/>
      <c r="H511" s="57">
        <f>H512</f>
        <v>1302070</v>
      </c>
      <c r="I511" s="75"/>
      <c r="J511" s="57">
        <f>J512</f>
        <v>1302070</v>
      </c>
      <c r="K511" s="75"/>
      <c r="L511" s="57">
        <f>L512</f>
        <v>1302070</v>
      </c>
      <c r="M511" s="75"/>
      <c r="N511" s="57">
        <f>N512</f>
        <v>1302070</v>
      </c>
      <c r="O511" s="75"/>
      <c r="P511" s="57">
        <f>P512</f>
        <v>1302070</v>
      </c>
      <c r="Q511" s="50"/>
      <c r="R511" s="57">
        <f>R512</f>
        <v>1302070</v>
      </c>
      <c r="S511" s="50"/>
      <c r="T511" s="57">
        <f>T512</f>
        <v>1302070</v>
      </c>
    </row>
    <row r="512" spans="1:20" ht="81" customHeight="1">
      <c r="A512" s="66" t="s">
        <v>65</v>
      </c>
      <c r="B512" s="83" t="s">
        <v>393</v>
      </c>
      <c r="C512" s="73" t="s">
        <v>364</v>
      </c>
      <c r="D512" s="83" t="s">
        <v>54</v>
      </c>
      <c r="E512" s="83" t="s">
        <v>42</v>
      </c>
      <c r="F512" s="57">
        <v>0</v>
      </c>
      <c r="G512" s="100">
        <v>11802000</v>
      </c>
      <c r="H512" s="57">
        <v>1302070</v>
      </c>
      <c r="I512" s="75"/>
      <c r="J512" s="76">
        <f>H512+I512</f>
        <v>1302070</v>
      </c>
      <c r="K512" s="75"/>
      <c r="L512" s="76">
        <f>J512+K512</f>
        <v>1302070</v>
      </c>
      <c r="M512" s="75"/>
      <c r="N512" s="76">
        <f>L512+M512</f>
        <v>1302070</v>
      </c>
      <c r="O512" s="75"/>
      <c r="P512" s="76">
        <f>N512+O512</f>
        <v>1302070</v>
      </c>
      <c r="Q512" s="50"/>
      <c r="R512" s="76">
        <f>P512+Q512</f>
        <v>1302070</v>
      </c>
      <c r="S512" s="50"/>
      <c r="T512" s="76">
        <f>R512+S512</f>
        <v>1302070</v>
      </c>
    </row>
    <row r="513" spans="1:20" ht="31.5" customHeight="1">
      <c r="A513" s="38" t="s">
        <v>55</v>
      </c>
      <c r="B513" s="83" t="s">
        <v>393</v>
      </c>
      <c r="C513" s="83" t="s">
        <v>364</v>
      </c>
      <c r="D513" s="83" t="s">
        <v>56</v>
      </c>
      <c r="E513" s="83"/>
      <c r="F513" s="57" t="e">
        <f>#REF!+#REF!+#REF!</f>
        <v>#REF!</v>
      </c>
      <c r="G513" s="83"/>
      <c r="H513" s="57">
        <f>H514+H515</f>
        <v>7733500</v>
      </c>
      <c r="I513" s="75"/>
      <c r="J513" s="57">
        <f>J514+J515</f>
        <v>7733500</v>
      </c>
      <c r="K513" s="75"/>
      <c r="L513" s="57">
        <f>L514+L515</f>
        <v>7733500</v>
      </c>
      <c r="M513" s="75"/>
      <c r="N513" s="57">
        <f>N514+N515</f>
        <v>7733500</v>
      </c>
      <c r="O513" s="75"/>
      <c r="P513" s="57">
        <f>P514+P515</f>
        <v>7733500</v>
      </c>
      <c r="Q513" s="50"/>
      <c r="R513" s="57">
        <f>R514+R515</f>
        <v>7733500</v>
      </c>
      <c r="S513" s="50"/>
      <c r="T513" s="57">
        <f>T514+T515</f>
        <v>7733500</v>
      </c>
    </row>
    <row r="514" spans="1:20" s="1" customFormat="1" ht="34.5" customHeight="1">
      <c r="A514" s="12" t="s">
        <v>491</v>
      </c>
      <c r="B514" s="83" t="s">
        <v>393</v>
      </c>
      <c r="C514" s="73" t="s">
        <v>364</v>
      </c>
      <c r="D514" s="73" t="s">
        <v>56</v>
      </c>
      <c r="E514" s="73" t="s">
        <v>463</v>
      </c>
      <c r="F514" s="57"/>
      <c r="G514" s="73"/>
      <c r="H514" s="57">
        <f>7733500-5470202</f>
        <v>2263298</v>
      </c>
      <c r="I514" s="77">
        <v>-133198</v>
      </c>
      <c r="J514" s="78">
        <f>H514+I514</f>
        <v>2130100</v>
      </c>
      <c r="K514" s="77"/>
      <c r="L514" s="78">
        <f>J514+K514</f>
        <v>2130100</v>
      </c>
      <c r="M514" s="77"/>
      <c r="N514" s="78">
        <f>L514+M514</f>
        <v>2130100</v>
      </c>
      <c r="O514" s="77"/>
      <c r="P514" s="78">
        <f>N514+O514</f>
        <v>2130100</v>
      </c>
      <c r="Q514" s="110"/>
      <c r="R514" s="78">
        <f>P514+Q514</f>
        <v>2130100</v>
      </c>
      <c r="S514" s="110"/>
      <c r="T514" s="78">
        <f>R514+S514</f>
        <v>2130100</v>
      </c>
    </row>
    <row r="515" spans="1:20" s="1" customFormat="1" ht="81" customHeight="1">
      <c r="A515" s="12" t="s">
        <v>65</v>
      </c>
      <c r="B515" s="83" t="s">
        <v>393</v>
      </c>
      <c r="C515" s="73" t="s">
        <v>364</v>
      </c>
      <c r="D515" s="73" t="s">
        <v>56</v>
      </c>
      <c r="E515" s="73" t="s">
        <v>42</v>
      </c>
      <c r="F515" s="57"/>
      <c r="G515" s="73"/>
      <c r="H515" s="57">
        <v>5470202</v>
      </c>
      <c r="I515" s="77">
        <v>133198</v>
      </c>
      <c r="J515" s="78">
        <f>H515+I515</f>
        <v>5603400</v>
      </c>
      <c r="K515" s="77"/>
      <c r="L515" s="78">
        <f>J515+K515</f>
        <v>5603400</v>
      </c>
      <c r="M515" s="77"/>
      <c r="N515" s="78">
        <f>L515+M515</f>
        <v>5603400</v>
      </c>
      <c r="O515" s="77"/>
      <c r="P515" s="78">
        <f>N515+O515</f>
        <v>5603400</v>
      </c>
      <c r="Q515" s="110"/>
      <c r="R515" s="78">
        <f>P515+Q515</f>
        <v>5603400</v>
      </c>
      <c r="S515" s="110"/>
      <c r="T515" s="78">
        <f>R515+S515</f>
        <v>5603400</v>
      </c>
    </row>
    <row r="516" spans="1:20" s="1" customFormat="1" ht="48.75" customHeight="1">
      <c r="A516" s="35" t="s">
        <v>57</v>
      </c>
      <c r="B516" s="83" t="s">
        <v>393</v>
      </c>
      <c r="C516" s="83" t="s">
        <v>364</v>
      </c>
      <c r="D516" s="73" t="s">
        <v>66</v>
      </c>
      <c r="E516" s="73"/>
      <c r="F516" s="57"/>
      <c r="G516" s="73"/>
      <c r="H516" s="57">
        <f>H517+H518</f>
        <v>2371000</v>
      </c>
      <c r="I516" s="77"/>
      <c r="J516" s="57">
        <f>J517+J518</f>
        <v>2371000</v>
      </c>
      <c r="K516" s="77"/>
      <c r="L516" s="57">
        <f>L517+L518</f>
        <v>2371000</v>
      </c>
      <c r="M516" s="77"/>
      <c r="N516" s="57">
        <f>N517+N518</f>
        <v>2371000</v>
      </c>
      <c r="O516" s="77"/>
      <c r="P516" s="57">
        <f>P517+P518</f>
        <v>2371000</v>
      </c>
      <c r="Q516" s="110"/>
      <c r="R516" s="57">
        <f>R517+R518</f>
        <v>2371000</v>
      </c>
      <c r="S516" s="110"/>
      <c r="T516" s="57">
        <f>T517+T518</f>
        <v>2460217.7</v>
      </c>
    </row>
    <row r="517" spans="1:20" s="1" customFormat="1" ht="33.75" customHeight="1">
      <c r="A517" s="12" t="s">
        <v>491</v>
      </c>
      <c r="B517" s="83" t="s">
        <v>393</v>
      </c>
      <c r="C517" s="73" t="s">
        <v>364</v>
      </c>
      <c r="D517" s="73" t="s">
        <v>66</v>
      </c>
      <c r="E517" s="73" t="s">
        <v>463</v>
      </c>
      <c r="F517" s="57"/>
      <c r="G517" s="73"/>
      <c r="H517" s="57">
        <v>1876408</v>
      </c>
      <c r="I517" s="77">
        <v>-185820</v>
      </c>
      <c r="J517" s="78">
        <f>H517+I517</f>
        <v>1690588</v>
      </c>
      <c r="K517" s="77">
        <v>10144</v>
      </c>
      <c r="L517" s="78">
        <f>J517+K517</f>
        <v>1700732</v>
      </c>
      <c r="M517" s="77"/>
      <c r="N517" s="78">
        <f>L517+M517</f>
        <v>1700732</v>
      </c>
      <c r="O517" s="77"/>
      <c r="P517" s="78">
        <f>N517+O517</f>
        <v>1700732</v>
      </c>
      <c r="Q517" s="110"/>
      <c r="R517" s="78">
        <f>P517+Q517</f>
        <v>1700732</v>
      </c>
      <c r="S517" s="110">
        <v>89217.7</v>
      </c>
      <c r="T517" s="78">
        <f>R517+S517</f>
        <v>1789949.7</v>
      </c>
    </row>
    <row r="518" spans="1:20" s="1" customFormat="1" ht="33.75" customHeight="1">
      <c r="A518" s="12" t="s">
        <v>36</v>
      </c>
      <c r="B518" s="83" t="s">
        <v>393</v>
      </c>
      <c r="C518" s="83" t="s">
        <v>364</v>
      </c>
      <c r="D518" s="73" t="s">
        <v>66</v>
      </c>
      <c r="E518" s="73" t="s">
        <v>35</v>
      </c>
      <c r="F518" s="57"/>
      <c r="G518" s="73"/>
      <c r="H518" s="57">
        <v>494592</v>
      </c>
      <c r="I518" s="77">
        <v>185820</v>
      </c>
      <c r="J518" s="78">
        <f>H518+I518</f>
        <v>680412</v>
      </c>
      <c r="K518" s="77">
        <v>-10144</v>
      </c>
      <c r="L518" s="78">
        <f>J518+K518</f>
        <v>670268</v>
      </c>
      <c r="M518" s="77"/>
      <c r="N518" s="78">
        <f>L518+M518</f>
        <v>670268</v>
      </c>
      <c r="O518" s="77"/>
      <c r="P518" s="78">
        <f>N518+O518</f>
        <v>670268</v>
      </c>
      <c r="Q518" s="110"/>
      <c r="R518" s="78">
        <f>P518+Q518</f>
        <v>670268</v>
      </c>
      <c r="S518" s="110"/>
      <c r="T518" s="78">
        <f>R518+S518</f>
        <v>670268</v>
      </c>
    </row>
    <row r="519" spans="1:20" ht="84.75" customHeight="1">
      <c r="A519" s="12" t="s">
        <v>67</v>
      </c>
      <c r="B519" s="83" t="s">
        <v>393</v>
      </c>
      <c r="C519" s="83" t="s">
        <v>364</v>
      </c>
      <c r="D519" s="73" t="s">
        <v>69</v>
      </c>
      <c r="E519" s="73"/>
      <c r="F519" s="57"/>
      <c r="G519" s="73"/>
      <c r="H519" s="57">
        <f>H520</f>
        <v>1267000</v>
      </c>
      <c r="I519" s="75"/>
      <c r="J519" s="57">
        <f>J520+J522</f>
        <v>2512100</v>
      </c>
      <c r="K519" s="75"/>
      <c r="L519" s="57">
        <f>L520+L522</f>
        <v>2512100</v>
      </c>
      <c r="M519" s="75"/>
      <c r="N519" s="57">
        <f>N520+N522</f>
        <v>2512100</v>
      </c>
      <c r="O519" s="75"/>
      <c r="P519" s="57">
        <f>P520+P522</f>
        <v>2512100</v>
      </c>
      <c r="Q519" s="50"/>
      <c r="R519" s="57">
        <f>R520+R522</f>
        <v>2512100</v>
      </c>
      <c r="S519" s="50"/>
      <c r="T519" s="57">
        <f>T520+T522</f>
        <v>2512100</v>
      </c>
    </row>
    <row r="520" spans="1:20" ht="33.75" customHeight="1">
      <c r="A520" s="35" t="s">
        <v>71</v>
      </c>
      <c r="B520" s="73" t="s">
        <v>393</v>
      </c>
      <c r="C520" s="73" t="s">
        <v>364</v>
      </c>
      <c r="D520" s="73" t="s">
        <v>72</v>
      </c>
      <c r="E520" s="73"/>
      <c r="F520" s="57"/>
      <c r="G520" s="73"/>
      <c r="H520" s="57">
        <f>H521</f>
        <v>1267000</v>
      </c>
      <c r="I520" s="75"/>
      <c r="J520" s="57">
        <f>J521</f>
        <v>1267000</v>
      </c>
      <c r="K520" s="75"/>
      <c r="L520" s="57">
        <f>L521</f>
        <v>1267000</v>
      </c>
      <c r="M520" s="75"/>
      <c r="N520" s="57">
        <f>N521</f>
        <v>1267000</v>
      </c>
      <c r="O520" s="75"/>
      <c r="P520" s="57">
        <f>P521</f>
        <v>1267000</v>
      </c>
      <c r="Q520" s="50"/>
      <c r="R520" s="57">
        <f>R521</f>
        <v>1267000</v>
      </c>
      <c r="S520" s="50"/>
      <c r="T520" s="57">
        <f>T521</f>
        <v>1267000</v>
      </c>
    </row>
    <row r="521" spans="1:20" ht="33.75" customHeight="1">
      <c r="A521" s="12" t="s">
        <v>36</v>
      </c>
      <c r="B521" s="73" t="s">
        <v>393</v>
      </c>
      <c r="C521" s="73" t="s">
        <v>364</v>
      </c>
      <c r="D521" s="73" t="s">
        <v>72</v>
      </c>
      <c r="E521" s="73" t="s">
        <v>35</v>
      </c>
      <c r="F521" s="57"/>
      <c r="G521" s="73"/>
      <c r="H521" s="57">
        <v>1267000</v>
      </c>
      <c r="I521" s="75"/>
      <c r="J521" s="76">
        <f>H521+I521</f>
        <v>1267000</v>
      </c>
      <c r="K521" s="75"/>
      <c r="L521" s="76">
        <f>J521+K521</f>
        <v>1267000</v>
      </c>
      <c r="M521" s="75"/>
      <c r="N521" s="76">
        <f>L521+M521</f>
        <v>1267000</v>
      </c>
      <c r="O521" s="75"/>
      <c r="P521" s="76">
        <f>N521+O521</f>
        <v>1267000</v>
      </c>
      <c r="Q521" s="50"/>
      <c r="R521" s="76">
        <f>P521+Q521</f>
        <v>1267000</v>
      </c>
      <c r="S521" s="50"/>
      <c r="T521" s="76">
        <f>R521+S521</f>
        <v>1267000</v>
      </c>
    </row>
    <row r="522" spans="1:20" ht="33.75" customHeight="1">
      <c r="A522" s="12" t="s">
        <v>326</v>
      </c>
      <c r="B522" s="73" t="s">
        <v>393</v>
      </c>
      <c r="C522" s="73" t="s">
        <v>364</v>
      </c>
      <c r="D522" s="73" t="s">
        <v>320</v>
      </c>
      <c r="E522" s="73"/>
      <c r="F522" s="57"/>
      <c r="G522" s="73"/>
      <c r="H522" s="57"/>
      <c r="I522" s="75"/>
      <c r="J522" s="76">
        <f>J523</f>
        <v>1245100</v>
      </c>
      <c r="K522" s="75"/>
      <c r="L522" s="76">
        <f>L523</f>
        <v>1245100</v>
      </c>
      <c r="M522" s="75"/>
      <c r="N522" s="76">
        <f>N523</f>
        <v>1245100</v>
      </c>
      <c r="O522" s="75"/>
      <c r="P522" s="76">
        <f>P523</f>
        <v>1245100</v>
      </c>
      <c r="Q522" s="50"/>
      <c r="R522" s="76">
        <f>R523</f>
        <v>1245100</v>
      </c>
      <c r="S522" s="50"/>
      <c r="T522" s="76">
        <f>T523</f>
        <v>1245100</v>
      </c>
    </row>
    <row r="523" spans="1:20" ht="33.75" customHeight="1">
      <c r="A523" s="12" t="s">
        <v>36</v>
      </c>
      <c r="B523" s="73" t="s">
        <v>393</v>
      </c>
      <c r="C523" s="73" t="s">
        <v>364</v>
      </c>
      <c r="D523" s="73" t="s">
        <v>320</v>
      </c>
      <c r="E523" s="73" t="s">
        <v>35</v>
      </c>
      <c r="F523" s="57"/>
      <c r="G523" s="73"/>
      <c r="H523" s="57"/>
      <c r="I523" s="75">
        <v>1245100</v>
      </c>
      <c r="J523" s="76">
        <f>I523</f>
        <v>1245100</v>
      </c>
      <c r="K523" s="75"/>
      <c r="L523" s="76">
        <f>J523+K523</f>
        <v>1245100</v>
      </c>
      <c r="M523" s="75"/>
      <c r="N523" s="76">
        <f>L523+M523</f>
        <v>1245100</v>
      </c>
      <c r="O523" s="75"/>
      <c r="P523" s="76">
        <f>N523+O523</f>
        <v>1245100</v>
      </c>
      <c r="Q523" s="50"/>
      <c r="R523" s="76">
        <f>P523+Q523</f>
        <v>1245100</v>
      </c>
      <c r="S523" s="50"/>
      <c r="T523" s="76">
        <f>R523+S523</f>
        <v>1245100</v>
      </c>
    </row>
    <row r="524" spans="1:20" ht="23.25" customHeight="1">
      <c r="A524" s="12" t="s">
        <v>414</v>
      </c>
      <c r="B524" s="73" t="s">
        <v>393</v>
      </c>
      <c r="C524" s="73" t="s">
        <v>365</v>
      </c>
      <c r="D524" s="73"/>
      <c r="E524" s="73"/>
      <c r="F524" s="57" t="e">
        <f>#REF!+F532+#REF!+F542+#REF!</f>
        <v>#REF!</v>
      </c>
      <c r="G524" s="73"/>
      <c r="H524" s="57">
        <f>H526</f>
        <v>9079777</v>
      </c>
      <c r="I524" s="75"/>
      <c r="J524" s="57">
        <f>J526</f>
        <v>9139777</v>
      </c>
      <c r="K524" s="75"/>
      <c r="L524" s="57">
        <f>L526</f>
        <v>9213877</v>
      </c>
      <c r="M524" s="75"/>
      <c r="N524" s="57">
        <f>N526</f>
        <v>9213877</v>
      </c>
      <c r="O524" s="75"/>
      <c r="P524" s="57">
        <f>P526</f>
        <v>9727850</v>
      </c>
      <c r="Q524" s="50"/>
      <c r="R524" s="57">
        <f>R526</f>
        <v>9738850</v>
      </c>
      <c r="S524" s="50"/>
      <c r="T524" s="57">
        <f>T526</f>
        <v>9738850</v>
      </c>
    </row>
    <row r="525" spans="1:20" ht="55.5" customHeight="1">
      <c r="A525" s="12" t="s">
        <v>222</v>
      </c>
      <c r="B525" s="73" t="s">
        <v>393</v>
      </c>
      <c r="C525" s="73" t="s">
        <v>365</v>
      </c>
      <c r="D525" s="73" t="s">
        <v>451</v>
      </c>
      <c r="E525" s="73"/>
      <c r="F525" s="57"/>
      <c r="G525" s="73"/>
      <c r="H525" s="57">
        <f>H524</f>
        <v>9079777</v>
      </c>
      <c r="I525" s="75"/>
      <c r="J525" s="57">
        <f>J524</f>
        <v>9139777</v>
      </c>
      <c r="K525" s="75"/>
      <c r="L525" s="57">
        <f>L524</f>
        <v>9213877</v>
      </c>
      <c r="M525" s="75"/>
      <c r="N525" s="57">
        <f>N524</f>
        <v>9213877</v>
      </c>
      <c r="O525" s="75"/>
      <c r="P525" s="57">
        <f>P524</f>
        <v>9727850</v>
      </c>
      <c r="Q525" s="50"/>
      <c r="R525" s="57">
        <f>R524</f>
        <v>9738850</v>
      </c>
      <c r="S525" s="50"/>
      <c r="T525" s="57">
        <f>T524</f>
        <v>9738850</v>
      </c>
    </row>
    <row r="526" spans="1:20" ht="94.5">
      <c r="A526" s="12" t="s">
        <v>96</v>
      </c>
      <c r="B526" s="73" t="s">
        <v>393</v>
      </c>
      <c r="C526" s="73" t="s">
        <v>365</v>
      </c>
      <c r="D526" s="73" t="s">
        <v>97</v>
      </c>
      <c r="E526" s="73"/>
      <c r="F526" s="57">
        <v>0</v>
      </c>
      <c r="G526" s="97">
        <v>5432400</v>
      </c>
      <c r="H526" s="57">
        <f>H527+H532+H542</f>
        <v>9079777</v>
      </c>
      <c r="I526" s="75"/>
      <c r="J526" s="57">
        <f>J527+J532+J542+J539</f>
        <v>9139777</v>
      </c>
      <c r="K526" s="75"/>
      <c r="L526" s="57">
        <f>L527+L532+L542+L539</f>
        <v>9213877</v>
      </c>
      <c r="M526" s="75"/>
      <c r="N526" s="57">
        <f>N527+N532+N542+N539</f>
        <v>9213877</v>
      </c>
      <c r="O526" s="75"/>
      <c r="P526" s="57">
        <f>P527+P532+P542+P539</f>
        <v>9727850</v>
      </c>
      <c r="Q526" s="50"/>
      <c r="R526" s="57">
        <f>R527+R532+R542+R539</f>
        <v>9738850</v>
      </c>
      <c r="S526" s="50"/>
      <c r="T526" s="57">
        <f>T527+T532+T542+T539</f>
        <v>9738850</v>
      </c>
    </row>
    <row r="527" spans="1:20" ht="81" customHeight="1">
      <c r="A527" s="12" t="s">
        <v>98</v>
      </c>
      <c r="B527" s="73">
        <v>906</v>
      </c>
      <c r="C527" s="73" t="s">
        <v>365</v>
      </c>
      <c r="D527" s="73" t="s">
        <v>99</v>
      </c>
      <c r="E527" s="73"/>
      <c r="F527" s="95" t="e">
        <f>F528+F529+#REF!+#REF!+F530+F531</f>
        <v>#REF!</v>
      </c>
      <c r="G527" s="73"/>
      <c r="H527" s="95">
        <f>H528+H529+H530+H531</f>
        <v>6377777</v>
      </c>
      <c r="I527" s="75"/>
      <c r="J527" s="95">
        <f>J528+J529+J530+J531</f>
        <v>6427777</v>
      </c>
      <c r="K527" s="75"/>
      <c r="L527" s="95">
        <f>L528+L529+L530+L531</f>
        <v>6531077</v>
      </c>
      <c r="M527" s="75"/>
      <c r="N527" s="95">
        <f>N528+N529+N530+N531</f>
        <v>6531077</v>
      </c>
      <c r="O527" s="75"/>
      <c r="P527" s="95">
        <f>P528+P529+P530+P531</f>
        <v>6531077</v>
      </c>
      <c r="Q527" s="50"/>
      <c r="R527" s="95">
        <f>R528+R529+R530+R531</f>
        <v>6542077</v>
      </c>
      <c r="S527" s="50"/>
      <c r="T527" s="95">
        <f>T528+T529+T530+T531</f>
        <v>6542077</v>
      </c>
    </row>
    <row r="528" spans="1:20" ht="15.75">
      <c r="A528" s="12" t="s">
        <v>465</v>
      </c>
      <c r="B528" s="73" t="s">
        <v>393</v>
      </c>
      <c r="C528" s="73" t="s">
        <v>365</v>
      </c>
      <c r="D528" s="73" t="s">
        <v>99</v>
      </c>
      <c r="E528" s="73" t="s">
        <v>460</v>
      </c>
      <c r="F528" s="95">
        <v>0</v>
      </c>
      <c r="G528" s="97">
        <v>487939</v>
      </c>
      <c r="H528" s="95">
        <v>5319468</v>
      </c>
      <c r="I528" s="75"/>
      <c r="J528" s="76">
        <f>H528+I528</f>
        <v>5319468</v>
      </c>
      <c r="K528" s="75"/>
      <c r="L528" s="76">
        <f>J528+K528</f>
        <v>5319468</v>
      </c>
      <c r="M528" s="75"/>
      <c r="N528" s="76">
        <f>L528+M528</f>
        <v>5319468</v>
      </c>
      <c r="O528" s="75"/>
      <c r="P528" s="76">
        <f>N528+O528</f>
        <v>5319468</v>
      </c>
      <c r="Q528" s="50"/>
      <c r="R528" s="76">
        <f>P528+Q528</f>
        <v>5319468</v>
      </c>
      <c r="S528" s="50"/>
      <c r="T528" s="76">
        <f>R528+S528</f>
        <v>5319468</v>
      </c>
    </row>
    <row r="529" spans="1:20" ht="31.5">
      <c r="A529" s="12" t="s">
        <v>466</v>
      </c>
      <c r="B529" s="73">
        <v>906</v>
      </c>
      <c r="C529" s="73" t="s">
        <v>365</v>
      </c>
      <c r="D529" s="73" t="s">
        <v>99</v>
      </c>
      <c r="E529" s="73" t="s">
        <v>461</v>
      </c>
      <c r="F529" s="95">
        <v>0</v>
      </c>
      <c r="G529" s="97">
        <v>7200</v>
      </c>
      <c r="H529" s="95">
        <v>19000</v>
      </c>
      <c r="I529" s="75"/>
      <c r="J529" s="76">
        <f>H529+I529</f>
        <v>19000</v>
      </c>
      <c r="K529" s="75"/>
      <c r="L529" s="76">
        <f>J529+K529</f>
        <v>19000</v>
      </c>
      <c r="M529" s="75"/>
      <c r="N529" s="76">
        <f>L529+M529</f>
        <v>19000</v>
      </c>
      <c r="O529" s="75"/>
      <c r="P529" s="76">
        <f>N529+O529</f>
        <v>19000</v>
      </c>
      <c r="Q529" s="50"/>
      <c r="R529" s="76">
        <f>P529+Q529</f>
        <v>19000</v>
      </c>
      <c r="S529" s="50"/>
      <c r="T529" s="76">
        <f>R529+S529</f>
        <v>19000</v>
      </c>
    </row>
    <row r="530" spans="1:20" ht="47.25">
      <c r="A530" s="12" t="s">
        <v>467</v>
      </c>
      <c r="B530" s="73">
        <v>906</v>
      </c>
      <c r="C530" s="73" t="s">
        <v>365</v>
      </c>
      <c r="D530" s="73" t="s">
        <v>99</v>
      </c>
      <c r="E530" s="73" t="s">
        <v>462</v>
      </c>
      <c r="F530" s="95">
        <v>0</v>
      </c>
      <c r="G530" s="97">
        <v>62238</v>
      </c>
      <c r="H530" s="95">
        <v>368640</v>
      </c>
      <c r="I530" s="75"/>
      <c r="J530" s="76">
        <f>H530+I530</f>
        <v>368640</v>
      </c>
      <c r="K530" s="75">
        <v>130300</v>
      </c>
      <c r="L530" s="76">
        <f>J530+K530</f>
        <v>498940</v>
      </c>
      <c r="M530" s="75"/>
      <c r="N530" s="76">
        <f>L530+M530</f>
        <v>498940</v>
      </c>
      <c r="O530" s="75"/>
      <c r="P530" s="76">
        <f>N530+O530</f>
        <v>498940</v>
      </c>
      <c r="Q530" s="50"/>
      <c r="R530" s="76">
        <f>P530+Q530</f>
        <v>498940</v>
      </c>
      <c r="S530" s="50"/>
      <c r="T530" s="76">
        <f>R530+S530</f>
        <v>498940</v>
      </c>
    </row>
    <row r="531" spans="1:20" ht="31.5">
      <c r="A531" s="12" t="s">
        <v>491</v>
      </c>
      <c r="B531" s="73" t="s">
        <v>393</v>
      </c>
      <c r="C531" s="73" t="s">
        <v>365</v>
      </c>
      <c r="D531" s="73" t="s">
        <v>99</v>
      </c>
      <c r="E531" s="73" t="s">
        <v>463</v>
      </c>
      <c r="F531" s="95">
        <v>0</v>
      </c>
      <c r="G531" s="97">
        <v>300004</v>
      </c>
      <c r="H531" s="95">
        <v>670669</v>
      </c>
      <c r="I531" s="75">
        <v>50000</v>
      </c>
      <c r="J531" s="76">
        <f>H531+I531</f>
        <v>720669</v>
      </c>
      <c r="K531" s="75">
        <v>-27000</v>
      </c>
      <c r="L531" s="76">
        <f>J531+K531</f>
        <v>693669</v>
      </c>
      <c r="M531" s="75"/>
      <c r="N531" s="76">
        <f>L531+M531</f>
        <v>693669</v>
      </c>
      <c r="O531" s="75"/>
      <c r="P531" s="76">
        <f>N531+O531</f>
        <v>693669</v>
      </c>
      <c r="Q531" s="50">
        <v>11000</v>
      </c>
      <c r="R531" s="76">
        <f>P531+Q531</f>
        <v>704669</v>
      </c>
      <c r="S531" s="50"/>
      <c r="T531" s="76">
        <f>R531+S531</f>
        <v>704669</v>
      </c>
    </row>
    <row r="532" spans="1:20" ht="47.25">
      <c r="A532" s="12" t="s">
        <v>100</v>
      </c>
      <c r="B532" s="73">
        <v>906</v>
      </c>
      <c r="C532" s="73" t="s">
        <v>365</v>
      </c>
      <c r="D532" s="73" t="s">
        <v>224</v>
      </c>
      <c r="E532" s="73"/>
      <c r="F532" s="95" t="e">
        <f>#REF!</f>
        <v>#REF!</v>
      </c>
      <c r="G532" s="73"/>
      <c r="H532" s="95">
        <f>H533+H534+H537+H538</f>
        <v>2302000</v>
      </c>
      <c r="I532" s="75"/>
      <c r="J532" s="95">
        <f>J533+J534+J537+J538+J535+J536</f>
        <v>1910241</v>
      </c>
      <c r="K532" s="75"/>
      <c r="L532" s="95">
        <f>L533+L534+L537+L538+L535+L536</f>
        <v>1881041</v>
      </c>
      <c r="M532" s="75"/>
      <c r="N532" s="95">
        <f>N533+N534+N537+N538+N535+N536</f>
        <v>1881041</v>
      </c>
      <c r="O532" s="75"/>
      <c r="P532" s="95">
        <f>P533+P534+P537+P538+P535+P536</f>
        <v>2395014</v>
      </c>
      <c r="Q532" s="50"/>
      <c r="R532" s="95">
        <f>R533+R534+R537+R538+R535+R536</f>
        <v>2395014</v>
      </c>
      <c r="S532" s="50"/>
      <c r="T532" s="95">
        <f>T533+T534+T537+T538+T535+T536</f>
        <v>2395014</v>
      </c>
    </row>
    <row r="533" spans="1:20" ht="15.75">
      <c r="A533" s="12" t="s">
        <v>465</v>
      </c>
      <c r="B533" s="73" t="s">
        <v>393</v>
      </c>
      <c r="C533" s="73" t="s">
        <v>365</v>
      </c>
      <c r="D533" s="73" t="s">
        <v>224</v>
      </c>
      <c r="E533" s="73" t="s">
        <v>460</v>
      </c>
      <c r="F533" s="95">
        <v>0</v>
      </c>
      <c r="G533" s="97">
        <v>4187391</v>
      </c>
      <c r="H533" s="95">
        <v>1808160</v>
      </c>
      <c r="I533" s="101">
        <v>-1808160</v>
      </c>
      <c r="J533" s="76">
        <f aca="true" t="shared" si="11" ref="J533:J538">H533+I533</f>
        <v>0</v>
      </c>
      <c r="K533" s="75"/>
      <c r="L533" s="76">
        <f aca="true" t="shared" si="12" ref="L533:L538">J533+K533</f>
        <v>0</v>
      </c>
      <c r="M533" s="75"/>
      <c r="N533" s="76">
        <f aca="true" t="shared" si="13" ref="N533:N538">L533+M533</f>
        <v>0</v>
      </c>
      <c r="O533" s="75"/>
      <c r="P533" s="76">
        <f aca="true" t="shared" si="14" ref="P533:P538">N533+O533</f>
        <v>0</v>
      </c>
      <c r="Q533" s="50"/>
      <c r="R533" s="76">
        <f aca="true" t="shared" si="15" ref="R533:T538">P533+Q533</f>
        <v>0</v>
      </c>
      <c r="S533" s="50"/>
      <c r="T533" s="76">
        <f t="shared" si="15"/>
        <v>0</v>
      </c>
    </row>
    <row r="534" spans="1:20" ht="31.5">
      <c r="A534" s="12" t="s">
        <v>466</v>
      </c>
      <c r="B534" s="73">
        <v>906</v>
      </c>
      <c r="C534" s="73" t="s">
        <v>365</v>
      </c>
      <c r="D534" s="73" t="s">
        <v>224</v>
      </c>
      <c r="E534" s="73" t="s">
        <v>461</v>
      </c>
      <c r="F534" s="95">
        <v>0</v>
      </c>
      <c r="G534" s="97">
        <v>19000</v>
      </c>
      <c r="H534" s="95">
        <v>20000</v>
      </c>
      <c r="I534" s="101">
        <v>-20000</v>
      </c>
      <c r="J534" s="76">
        <f t="shared" si="11"/>
        <v>0</v>
      </c>
      <c r="K534" s="75"/>
      <c r="L534" s="76">
        <f t="shared" si="12"/>
        <v>0</v>
      </c>
      <c r="M534" s="75"/>
      <c r="N534" s="76">
        <f t="shared" si="13"/>
        <v>0</v>
      </c>
      <c r="O534" s="75"/>
      <c r="P534" s="76">
        <f t="shared" si="14"/>
        <v>0</v>
      </c>
      <c r="Q534" s="50"/>
      <c r="R534" s="76">
        <f t="shared" si="15"/>
        <v>0</v>
      </c>
      <c r="S534" s="50"/>
      <c r="T534" s="76">
        <f t="shared" si="15"/>
        <v>0</v>
      </c>
    </row>
    <row r="535" spans="1:20" ht="15.75">
      <c r="A535" s="14" t="s">
        <v>465</v>
      </c>
      <c r="B535" s="73">
        <v>906</v>
      </c>
      <c r="C535" s="73" t="s">
        <v>365</v>
      </c>
      <c r="D535" s="73" t="s">
        <v>224</v>
      </c>
      <c r="E535" s="73" t="s">
        <v>475</v>
      </c>
      <c r="F535" s="95"/>
      <c r="G535" s="97"/>
      <c r="H535" s="95"/>
      <c r="I535" s="101">
        <v>1424401</v>
      </c>
      <c r="J535" s="76">
        <f t="shared" si="11"/>
        <v>1424401</v>
      </c>
      <c r="K535" s="75"/>
      <c r="L535" s="76">
        <f t="shared" si="12"/>
        <v>1424401</v>
      </c>
      <c r="M535" s="75"/>
      <c r="N535" s="76">
        <f t="shared" si="13"/>
        <v>1424401</v>
      </c>
      <c r="O535" s="75">
        <v>513973</v>
      </c>
      <c r="P535" s="76">
        <f t="shared" si="14"/>
        <v>1938374</v>
      </c>
      <c r="Q535" s="50"/>
      <c r="R535" s="76">
        <f t="shared" si="15"/>
        <v>1938374</v>
      </c>
      <c r="S535" s="50"/>
      <c r="T535" s="76">
        <f t="shared" si="15"/>
        <v>1938374</v>
      </c>
    </row>
    <row r="536" spans="1:20" ht="31.5">
      <c r="A536" s="14" t="s">
        <v>466</v>
      </c>
      <c r="B536" s="73">
        <v>906</v>
      </c>
      <c r="C536" s="73" t="s">
        <v>365</v>
      </c>
      <c r="D536" s="73" t="s">
        <v>224</v>
      </c>
      <c r="E536" s="73" t="s">
        <v>478</v>
      </c>
      <c r="F536" s="95"/>
      <c r="G536" s="97"/>
      <c r="H536" s="95"/>
      <c r="I536" s="101">
        <v>12000</v>
      </c>
      <c r="J536" s="76">
        <f t="shared" si="11"/>
        <v>12000</v>
      </c>
      <c r="K536" s="75"/>
      <c r="L536" s="76">
        <f t="shared" si="12"/>
        <v>12000</v>
      </c>
      <c r="M536" s="75"/>
      <c r="N536" s="76">
        <f t="shared" si="13"/>
        <v>12000</v>
      </c>
      <c r="O536" s="75"/>
      <c r="P536" s="76">
        <f t="shared" si="14"/>
        <v>12000</v>
      </c>
      <c r="Q536" s="50"/>
      <c r="R536" s="76">
        <f t="shared" si="15"/>
        <v>12000</v>
      </c>
      <c r="S536" s="50"/>
      <c r="T536" s="76">
        <f t="shared" si="15"/>
        <v>12000</v>
      </c>
    </row>
    <row r="537" spans="1:20" ht="47.25">
      <c r="A537" s="12" t="s">
        <v>467</v>
      </c>
      <c r="B537" s="73" t="s">
        <v>393</v>
      </c>
      <c r="C537" s="73" t="s">
        <v>365</v>
      </c>
      <c r="D537" s="73" t="s">
        <v>224</v>
      </c>
      <c r="E537" s="73" t="s">
        <v>462</v>
      </c>
      <c r="F537" s="95">
        <v>0</v>
      </c>
      <c r="G537" s="97">
        <v>432052</v>
      </c>
      <c r="H537" s="95">
        <v>136240</v>
      </c>
      <c r="I537" s="101"/>
      <c r="J537" s="76">
        <f t="shared" si="11"/>
        <v>136240</v>
      </c>
      <c r="K537" s="75">
        <v>-29200</v>
      </c>
      <c r="L537" s="76">
        <f t="shared" si="12"/>
        <v>107040</v>
      </c>
      <c r="M537" s="75"/>
      <c r="N537" s="76">
        <f t="shared" si="13"/>
        <v>107040</v>
      </c>
      <c r="O537" s="75"/>
      <c r="P537" s="76">
        <f t="shared" si="14"/>
        <v>107040</v>
      </c>
      <c r="Q537" s="50"/>
      <c r="R537" s="76">
        <f t="shared" si="15"/>
        <v>107040</v>
      </c>
      <c r="S537" s="50"/>
      <c r="T537" s="76">
        <f t="shared" si="15"/>
        <v>107040</v>
      </c>
    </row>
    <row r="538" spans="1:20" ht="31.5">
      <c r="A538" s="12" t="s">
        <v>491</v>
      </c>
      <c r="B538" s="73">
        <v>906</v>
      </c>
      <c r="C538" s="73" t="s">
        <v>365</v>
      </c>
      <c r="D538" s="73" t="s">
        <v>224</v>
      </c>
      <c r="E538" s="73" t="s">
        <v>463</v>
      </c>
      <c r="F538" s="95">
        <v>0</v>
      </c>
      <c r="G538" s="97">
        <v>608742</v>
      </c>
      <c r="H538" s="95">
        <v>337600</v>
      </c>
      <c r="I538" s="101"/>
      <c r="J538" s="76">
        <f t="shared" si="11"/>
        <v>337600</v>
      </c>
      <c r="K538" s="75"/>
      <c r="L538" s="76">
        <f t="shared" si="12"/>
        <v>337600</v>
      </c>
      <c r="M538" s="75"/>
      <c r="N538" s="76">
        <f t="shared" si="13"/>
        <v>337600</v>
      </c>
      <c r="O538" s="75"/>
      <c r="P538" s="76">
        <f t="shared" si="14"/>
        <v>337600</v>
      </c>
      <c r="Q538" s="50"/>
      <c r="R538" s="76">
        <f t="shared" si="15"/>
        <v>337600</v>
      </c>
      <c r="S538" s="50"/>
      <c r="T538" s="76">
        <f t="shared" si="15"/>
        <v>337600</v>
      </c>
    </row>
    <row r="539" spans="1:20" ht="47.25">
      <c r="A539" s="12" t="s">
        <v>260</v>
      </c>
      <c r="B539" s="73" t="s">
        <v>393</v>
      </c>
      <c r="C539" s="73" t="s">
        <v>365</v>
      </c>
      <c r="D539" s="73" t="s">
        <v>256</v>
      </c>
      <c r="E539" s="73"/>
      <c r="F539" s="95"/>
      <c r="G539" s="97"/>
      <c r="H539" s="95"/>
      <c r="I539" s="101"/>
      <c r="J539" s="76">
        <f>J540+J541</f>
        <v>391759</v>
      </c>
      <c r="K539" s="75"/>
      <c r="L539" s="76">
        <f>L540+L541</f>
        <v>391759</v>
      </c>
      <c r="M539" s="75"/>
      <c r="N539" s="76">
        <f>N540+N541</f>
        <v>391759</v>
      </c>
      <c r="O539" s="75"/>
      <c r="P539" s="76">
        <f>P540+P541</f>
        <v>391759</v>
      </c>
      <c r="Q539" s="50"/>
      <c r="R539" s="76">
        <f>R540+R541</f>
        <v>391759</v>
      </c>
      <c r="S539" s="50"/>
      <c r="T539" s="76">
        <f>T540+T541</f>
        <v>391759</v>
      </c>
    </row>
    <row r="540" spans="1:20" ht="15.75">
      <c r="A540" s="14" t="s">
        <v>465</v>
      </c>
      <c r="B540" s="73" t="s">
        <v>393</v>
      </c>
      <c r="C540" s="73" t="s">
        <v>365</v>
      </c>
      <c r="D540" s="73" t="s">
        <v>256</v>
      </c>
      <c r="E540" s="73" t="s">
        <v>475</v>
      </c>
      <c r="F540" s="95"/>
      <c r="G540" s="97"/>
      <c r="H540" s="95"/>
      <c r="I540" s="101">
        <v>383759</v>
      </c>
      <c r="J540" s="76">
        <f>H540+I540</f>
        <v>383759</v>
      </c>
      <c r="K540" s="75"/>
      <c r="L540" s="76">
        <f>J540+K540</f>
        <v>383759</v>
      </c>
      <c r="M540" s="75"/>
      <c r="N540" s="76">
        <f>L540+M540</f>
        <v>383759</v>
      </c>
      <c r="O540" s="75"/>
      <c r="P540" s="76">
        <f>N540+O540</f>
        <v>383759</v>
      </c>
      <c r="Q540" s="50"/>
      <c r="R540" s="76">
        <f>P540+Q540</f>
        <v>383759</v>
      </c>
      <c r="S540" s="50"/>
      <c r="T540" s="76">
        <f>R540+S540</f>
        <v>383759</v>
      </c>
    </row>
    <row r="541" spans="1:20" ht="31.5">
      <c r="A541" s="14" t="s">
        <v>466</v>
      </c>
      <c r="B541" s="73" t="s">
        <v>393</v>
      </c>
      <c r="C541" s="73" t="s">
        <v>365</v>
      </c>
      <c r="D541" s="73" t="s">
        <v>256</v>
      </c>
      <c r="E541" s="73" t="s">
        <v>478</v>
      </c>
      <c r="F541" s="95"/>
      <c r="G541" s="97"/>
      <c r="H541" s="95"/>
      <c r="I541" s="101">
        <v>8000</v>
      </c>
      <c r="J541" s="76">
        <f>H541+I541</f>
        <v>8000</v>
      </c>
      <c r="K541" s="75"/>
      <c r="L541" s="76">
        <f>J541+K541</f>
        <v>8000</v>
      </c>
      <c r="M541" s="75"/>
      <c r="N541" s="76">
        <f>L541+M541</f>
        <v>8000</v>
      </c>
      <c r="O541" s="75"/>
      <c r="P541" s="76">
        <f>N541+O541</f>
        <v>8000</v>
      </c>
      <c r="Q541" s="50"/>
      <c r="R541" s="76">
        <f>P541+Q541</f>
        <v>8000</v>
      </c>
      <c r="S541" s="50"/>
      <c r="T541" s="76">
        <f>R541+S541</f>
        <v>8000</v>
      </c>
    </row>
    <row r="542" spans="1:20" ht="46.5" customHeight="1">
      <c r="A542" s="39" t="s">
        <v>102</v>
      </c>
      <c r="B542" s="73" t="s">
        <v>393</v>
      </c>
      <c r="C542" s="73" t="s">
        <v>365</v>
      </c>
      <c r="D542" s="73" t="s">
        <v>103</v>
      </c>
      <c r="E542" s="73"/>
      <c r="F542" s="95" t="e">
        <f>F543+#REF!+#REF!+#REF!+#REF!+#REF!+#REF!</f>
        <v>#REF!</v>
      </c>
      <c r="G542" s="73" t="s">
        <v>495</v>
      </c>
      <c r="H542" s="95">
        <f>H543</f>
        <v>400000</v>
      </c>
      <c r="I542" s="75"/>
      <c r="J542" s="95">
        <f>J543</f>
        <v>410000</v>
      </c>
      <c r="K542" s="75"/>
      <c r="L542" s="95">
        <f>L543</f>
        <v>410000</v>
      </c>
      <c r="M542" s="75"/>
      <c r="N542" s="95">
        <f>N543</f>
        <v>410000</v>
      </c>
      <c r="O542" s="75"/>
      <c r="P542" s="95">
        <f>P543</f>
        <v>410000</v>
      </c>
      <c r="Q542" s="50"/>
      <c r="R542" s="95">
        <f>R543</f>
        <v>410000</v>
      </c>
      <c r="S542" s="50"/>
      <c r="T542" s="95">
        <f>T543</f>
        <v>410000</v>
      </c>
    </row>
    <row r="543" spans="1:20" ht="15.75">
      <c r="A543" s="12" t="s">
        <v>472</v>
      </c>
      <c r="B543" s="83" t="s">
        <v>393</v>
      </c>
      <c r="C543" s="83" t="s">
        <v>365</v>
      </c>
      <c r="D543" s="83" t="s">
        <v>103</v>
      </c>
      <c r="E543" s="83" t="s">
        <v>471</v>
      </c>
      <c r="F543" s="95" t="e">
        <f>#REF!</f>
        <v>#REF!</v>
      </c>
      <c r="G543" s="83"/>
      <c r="H543" s="95">
        <v>400000</v>
      </c>
      <c r="I543" s="75">
        <v>10000</v>
      </c>
      <c r="J543" s="76">
        <f>H543+I543</f>
        <v>410000</v>
      </c>
      <c r="K543" s="75"/>
      <c r="L543" s="76">
        <f>J543+K543</f>
        <v>410000</v>
      </c>
      <c r="M543" s="75"/>
      <c r="N543" s="76">
        <f>L543+M543</f>
        <v>410000</v>
      </c>
      <c r="O543" s="75"/>
      <c r="P543" s="76">
        <f>N543+O543</f>
        <v>410000</v>
      </c>
      <c r="Q543" s="50"/>
      <c r="R543" s="76">
        <f>P543+Q543</f>
        <v>410000</v>
      </c>
      <c r="S543" s="50"/>
      <c r="T543" s="76">
        <f>R543+S543</f>
        <v>410000</v>
      </c>
    </row>
    <row r="544" spans="1:20" ht="15.75">
      <c r="A544" s="19" t="s">
        <v>167</v>
      </c>
      <c r="B544" s="83" t="s">
        <v>393</v>
      </c>
      <c r="C544" s="83" t="s">
        <v>397</v>
      </c>
      <c r="D544" s="83" t="s">
        <v>119</v>
      </c>
      <c r="E544" s="83"/>
      <c r="F544" s="57" t="e">
        <f>F545</f>
        <v>#REF!</v>
      </c>
      <c r="G544" s="83"/>
      <c r="H544" s="57">
        <f>H545</f>
        <v>122800</v>
      </c>
      <c r="I544" s="75"/>
      <c r="J544" s="57">
        <f>J545</f>
        <v>122800</v>
      </c>
      <c r="K544" s="75"/>
      <c r="L544" s="57">
        <f>L545</f>
        <v>122800</v>
      </c>
      <c r="M544" s="75"/>
      <c r="N544" s="57">
        <f>N545</f>
        <v>122800</v>
      </c>
      <c r="O544" s="75"/>
      <c r="P544" s="57">
        <f>P545</f>
        <v>122800</v>
      </c>
      <c r="Q544" s="50"/>
      <c r="R544" s="57">
        <f>R545</f>
        <v>122800</v>
      </c>
      <c r="S544" s="50"/>
      <c r="T544" s="57">
        <f>T545</f>
        <v>122800</v>
      </c>
    </row>
    <row r="545" spans="1:20" ht="16.5" customHeight="1">
      <c r="A545" s="19" t="s">
        <v>416</v>
      </c>
      <c r="B545" s="102" t="s">
        <v>393</v>
      </c>
      <c r="C545" s="102" t="s">
        <v>397</v>
      </c>
      <c r="D545" s="102" t="s">
        <v>101</v>
      </c>
      <c r="E545" s="102"/>
      <c r="F545" s="57" t="e">
        <f>#REF!</f>
        <v>#REF!</v>
      </c>
      <c r="G545" s="83"/>
      <c r="H545" s="57">
        <f>H546</f>
        <v>122800</v>
      </c>
      <c r="I545" s="75"/>
      <c r="J545" s="57">
        <f>J546</f>
        <v>122800</v>
      </c>
      <c r="K545" s="75"/>
      <c r="L545" s="57">
        <f>L546</f>
        <v>122800</v>
      </c>
      <c r="M545" s="75"/>
      <c r="N545" s="57">
        <f>N546</f>
        <v>122800</v>
      </c>
      <c r="O545" s="75"/>
      <c r="P545" s="57">
        <f>P546</f>
        <v>122800</v>
      </c>
      <c r="Q545" s="50"/>
      <c r="R545" s="57">
        <f>R546</f>
        <v>122800</v>
      </c>
      <c r="S545" s="50"/>
      <c r="T545" s="57">
        <f>T546</f>
        <v>122800</v>
      </c>
    </row>
    <row r="546" spans="1:20" ht="34.5" customHeight="1">
      <c r="A546" s="27" t="s">
        <v>150</v>
      </c>
      <c r="B546" s="83" t="s">
        <v>393</v>
      </c>
      <c r="C546" s="83" t="s">
        <v>397</v>
      </c>
      <c r="D546" s="83" t="s">
        <v>101</v>
      </c>
      <c r="E546" s="83" t="s">
        <v>477</v>
      </c>
      <c r="F546" s="57">
        <v>0</v>
      </c>
      <c r="G546" s="100">
        <v>109800</v>
      </c>
      <c r="H546" s="57">
        <v>122800</v>
      </c>
      <c r="I546" s="75"/>
      <c r="J546" s="76">
        <f>H546+I546</f>
        <v>122800</v>
      </c>
      <c r="K546" s="75"/>
      <c r="L546" s="76">
        <f>J546+K546</f>
        <v>122800</v>
      </c>
      <c r="M546" s="75"/>
      <c r="N546" s="76">
        <f>L546+M546</f>
        <v>122800</v>
      </c>
      <c r="O546" s="75"/>
      <c r="P546" s="76">
        <f>N546+O546</f>
        <v>122800</v>
      </c>
      <c r="Q546" s="50"/>
      <c r="R546" s="76">
        <f>P546+Q546</f>
        <v>122800</v>
      </c>
      <c r="S546" s="50"/>
      <c r="T546" s="76">
        <f>R546+S546</f>
        <v>122800</v>
      </c>
    </row>
    <row r="547" spans="1:20" ht="54.75" customHeight="1">
      <c r="A547" s="11" t="s">
        <v>446</v>
      </c>
      <c r="B547" s="72">
        <v>908</v>
      </c>
      <c r="C547" s="73"/>
      <c r="D547" s="73"/>
      <c r="E547" s="73"/>
      <c r="F547" s="74" t="e">
        <f>F548+#REF!</f>
        <v>#REF!</v>
      </c>
      <c r="G547" s="73"/>
      <c r="H547" s="74">
        <f>H548+H556</f>
        <v>110062000</v>
      </c>
      <c r="I547" s="75"/>
      <c r="J547" s="74">
        <f>J548+J556</f>
        <v>109612000</v>
      </c>
      <c r="K547" s="75"/>
      <c r="L547" s="74">
        <f>L548+L556+L578</f>
        <v>109604531</v>
      </c>
      <c r="M547" s="75"/>
      <c r="N547" s="74">
        <f>N548+N556+N578</f>
        <v>109604531</v>
      </c>
      <c r="O547" s="75"/>
      <c r="P547" s="74">
        <f>P548+P556+P578</f>
        <v>110339531</v>
      </c>
      <c r="Q547" s="50"/>
      <c r="R547" s="74">
        <f>R548+R556+R578+R553</f>
        <v>117507296</v>
      </c>
      <c r="S547" s="50"/>
      <c r="T547" s="74">
        <f>T548+T556+T578+T553</f>
        <v>117507296</v>
      </c>
    </row>
    <row r="548" spans="1:20" ht="66" customHeight="1">
      <c r="A548" s="14" t="s">
        <v>199</v>
      </c>
      <c r="B548" s="73" t="s">
        <v>379</v>
      </c>
      <c r="C548" s="73" t="s">
        <v>363</v>
      </c>
      <c r="D548" s="73" t="s">
        <v>182</v>
      </c>
      <c r="E548" s="73"/>
      <c r="F548" s="57" t="e">
        <f>#REF!</f>
        <v>#REF!</v>
      </c>
      <c r="G548" s="73"/>
      <c r="H548" s="57">
        <f>H549</f>
        <v>8601000</v>
      </c>
      <c r="I548" s="75"/>
      <c r="J548" s="57">
        <f>J549</f>
        <v>8601000</v>
      </c>
      <c r="K548" s="75"/>
      <c r="L548" s="57">
        <f>L549</f>
        <v>8601000</v>
      </c>
      <c r="M548" s="75"/>
      <c r="N548" s="57">
        <f>N549</f>
        <v>8601000</v>
      </c>
      <c r="O548" s="75"/>
      <c r="P548" s="57">
        <f>P549+P551</f>
        <v>9636000</v>
      </c>
      <c r="Q548" s="50"/>
      <c r="R548" s="57">
        <f>R549+R551</f>
        <v>9636000</v>
      </c>
      <c r="S548" s="50"/>
      <c r="T548" s="57">
        <f>T549+T551</f>
        <v>9636000</v>
      </c>
    </row>
    <row r="549" spans="1:20" ht="55.5" customHeight="1">
      <c r="A549" s="14" t="s">
        <v>200</v>
      </c>
      <c r="B549" s="73" t="s">
        <v>379</v>
      </c>
      <c r="C549" s="73" t="s">
        <v>363</v>
      </c>
      <c r="D549" s="73" t="s">
        <v>213</v>
      </c>
      <c r="E549" s="73"/>
      <c r="F549" s="57"/>
      <c r="G549" s="73"/>
      <c r="H549" s="57">
        <f>H550</f>
        <v>8601000</v>
      </c>
      <c r="I549" s="75"/>
      <c r="J549" s="57">
        <f>J550</f>
        <v>8601000</v>
      </c>
      <c r="K549" s="75"/>
      <c r="L549" s="57">
        <f>L550</f>
        <v>8601000</v>
      </c>
      <c r="M549" s="75"/>
      <c r="N549" s="57">
        <f>N550</f>
        <v>8601000</v>
      </c>
      <c r="O549" s="75"/>
      <c r="P549" s="57">
        <f>P550</f>
        <v>8601000</v>
      </c>
      <c r="Q549" s="50"/>
      <c r="R549" s="57">
        <f>R550</f>
        <v>8601000</v>
      </c>
      <c r="S549" s="50"/>
      <c r="T549" s="57">
        <f>T550</f>
        <v>8601000</v>
      </c>
    </row>
    <row r="550" spans="1:20" ht="79.5" customHeight="1">
      <c r="A550" s="12" t="s">
        <v>60</v>
      </c>
      <c r="B550" s="73">
        <v>908</v>
      </c>
      <c r="C550" s="73" t="s">
        <v>363</v>
      </c>
      <c r="D550" s="73" t="s">
        <v>201</v>
      </c>
      <c r="E550" s="73" t="s">
        <v>474</v>
      </c>
      <c r="F550" s="57">
        <v>0</v>
      </c>
      <c r="G550" s="73" t="s">
        <v>519</v>
      </c>
      <c r="H550" s="57">
        <v>8601000</v>
      </c>
      <c r="I550" s="75"/>
      <c r="J550" s="76">
        <f>H550+I550</f>
        <v>8601000</v>
      </c>
      <c r="K550" s="75"/>
      <c r="L550" s="76">
        <f>J550+K550</f>
        <v>8601000</v>
      </c>
      <c r="M550" s="75"/>
      <c r="N550" s="76">
        <f>L550+M550</f>
        <v>8601000</v>
      </c>
      <c r="O550" s="75"/>
      <c r="P550" s="76">
        <f>N550+O550</f>
        <v>8601000</v>
      </c>
      <c r="Q550" s="50"/>
      <c r="R550" s="76">
        <f>P550+Q550</f>
        <v>8601000</v>
      </c>
      <c r="S550" s="50"/>
      <c r="T550" s="76">
        <f>R550+S550</f>
        <v>8601000</v>
      </c>
    </row>
    <row r="551" spans="1:20" ht="177.75" customHeight="1">
      <c r="A551" s="12" t="s">
        <v>645</v>
      </c>
      <c r="B551" s="73" t="s">
        <v>379</v>
      </c>
      <c r="C551" s="73" t="s">
        <v>363</v>
      </c>
      <c r="D551" s="73" t="s">
        <v>644</v>
      </c>
      <c r="E551" s="73"/>
      <c r="F551" s="57"/>
      <c r="G551" s="73"/>
      <c r="H551" s="57"/>
      <c r="I551" s="75"/>
      <c r="J551" s="76"/>
      <c r="K551" s="75"/>
      <c r="L551" s="76"/>
      <c r="M551" s="75"/>
      <c r="N551" s="76"/>
      <c r="O551" s="75"/>
      <c r="P551" s="76">
        <f>P552</f>
        <v>1035000</v>
      </c>
      <c r="Q551" s="50"/>
      <c r="R551" s="76">
        <f>R552</f>
        <v>1035000</v>
      </c>
      <c r="S551" s="50"/>
      <c r="T551" s="76">
        <f>T552</f>
        <v>1035000</v>
      </c>
    </row>
    <row r="552" spans="1:20" ht="79.5" customHeight="1">
      <c r="A552" s="12" t="s">
        <v>60</v>
      </c>
      <c r="B552" s="73" t="s">
        <v>379</v>
      </c>
      <c r="C552" s="73" t="s">
        <v>363</v>
      </c>
      <c r="D552" s="73" t="s">
        <v>644</v>
      </c>
      <c r="E552" s="73" t="s">
        <v>474</v>
      </c>
      <c r="F552" s="57"/>
      <c r="G552" s="73"/>
      <c r="H552" s="57"/>
      <c r="I552" s="75"/>
      <c r="J552" s="76"/>
      <c r="K552" s="75"/>
      <c r="L552" s="76"/>
      <c r="M552" s="75"/>
      <c r="N552" s="76"/>
      <c r="O552" s="75">
        <v>1035000</v>
      </c>
      <c r="P552" s="76">
        <f>N552+O552</f>
        <v>1035000</v>
      </c>
      <c r="Q552" s="50"/>
      <c r="R552" s="76">
        <f>P552+Q552</f>
        <v>1035000</v>
      </c>
      <c r="S552" s="50"/>
      <c r="T552" s="76">
        <f>R552+S552</f>
        <v>1035000</v>
      </c>
    </row>
    <row r="553" spans="1:20" ht="20.25" customHeight="1">
      <c r="A553" s="12" t="s">
        <v>73</v>
      </c>
      <c r="B553" s="73" t="s">
        <v>379</v>
      </c>
      <c r="C553" s="73" t="s">
        <v>363</v>
      </c>
      <c r="D553" s="73" t="s">
        <v>119</v>
      </c>
      <c r="E553" s="73"/>
      <c r="F553" s="57"/>
      <c r="G553" s="73"/>
      <c r="H553" s="57"/>
      <c r="I553" s="75"/>
      <c r="J553" s="76"/>
      <c r="K553" s="75"/>
      <c r="L553" s="76"/>
      <c r="M553" s="75"/>
      <c r="N553" s="76"/>
      <c r="O553" s="75"/>
      <c r="P553" s="76"/>
      <c r="Q553" s="50"/>
      <c r="R553" s="76">
        <f>R554</f>
        <v>135000</v>
      </c>
      <c r="S553" s="50"/>
      <c r="T553" s="76">
        <f>T554</f>
        <v>135000</v>
      </c>
    </row>
    <row r="554" spans="1:20" ht="22.5" customHeight="1">
      <c r="A554" s="12" t="s">
        <v>74</v>
      </c>
      <c r="B554" s="73" t="s">
        <v>379</v>
      </c>
      <c r="C554" s="73" t="s">
        <v>363</v>
      </c>
      <c r="D554" s="73" t="s">
        <v>264</v>
      </c>
      <c r="E554" s="73"/>
      <c r="F554" s="57"/>
      <c r="G554" s="73"/>
      <c r="H554" s="57"/>
      <c r="I554" s="75"/>
      <c r="J554" s="76"/>
      <c r="K554" s="75"/>
      <c r="L554" s="76"/>
      <c r="M554" s="75"/>
      <c r="N554" s="76"/>
      <c r="O554" s="75"/>
      <c r="P554" s="76"/>
      <c r="Q554" s="50"/>
      <c r="R554" s="76">
        <f>R555</f>
        <v>135000</v>
      </c>
      <c r="S554" s="50"/>
      <c r="T554" s="76">
        <f>T555</f>
        <v>135000</v>
      </c>
    </row>
    <row r="555" spans="1:20" ht="79.5" customHeight="1">
      <c r="A555" s="12" t="s">
        <v>60</v>
      </c>
      <c r="B555" s="73" t="s">
        <v>379</v>
      </c>
      <c r="C555" s="73" t="s">
        <v>363</v>
      </c>
      <c r="D555" s="73" t="s">
        <v>264</v>
      </c>
      <c r="E555" s="73" t="s">
        <v>474</v>
      </c>
      <c r="F555" s="57"/>
      <c r="G555" s="73"/>
      <c r="H555" s="57"/>
      <c r="I555" s="75"/>
      <c r="J555" s="76"/>
      <c r="K555" s="75"/>
      <c r="L555" s="76"/>
      <c r="M555" s="75"/>
      <c r="N555" s="76"/>
      <c r="O555" s="75"/>
      <c r="P555" s="76"/>
      <c r="Q555" s="50">
        <v>135000</v>
      </c>
      <c r="R555" s="76">
        <f>P555+Q555</f>
        <v>135000</v>
      </c>
      <c r="S555" s="50"/>
      <c r="T555" s="76">
        <f>R555+S555</f>
        <v>135000</v>
      </c>
    </row>
    <row r="556" spans="1:20" ht="69" customHeight="1">
      <c r="A556" s="13" t="s">
        <v>199</v>
      </c>
      <c r="B556" s="73" t="s">
        <v>379</v>
      </c>
      <c r="C556" s="73" t="s">
        <v>366</v>
      </c>
      <c r="D556" s="73" t="s">
        <v>182</v>
      </c>
      <c r="E556" s="73"/>
      <c r="F556" s="57"/>
      <c r="G556" s="73"/>
      <c r="H556" s="57">
        <f>H557+H582</f>
        <v>101461000</v>
      </c>
      <c r="I556" s="75"/>
      <c r="J556" s="57">
        <f>J557+J582</f>
        <v>101011000</v>
      </c>
      <c r="K556" s="75"/>
      <c r="L556" s="57">
        <f>L557+L582</f>
        <v>100903531</v>
      </c>
      <c r="M556" s="75"/>
      <c r="N556" s="57">
        <f>N557+N582</f>
        <v>100903531</v>
      </c>
      <c r="O556" s="75"/>
      <c r="P556" s="57">
        <f>P557+P582</f>
        <v>100603531</v>
      </c>
      <c r="Q556" s="50"/>
      <c r="R556" s="57">
        <f>R557+R582</f>
        <v>107602296</v>
      </c>
      <c r="S556" s="50"/>
      <c r="T556" s="57">
        <f>T557+T582</f>
        <v>107602296</v>
      </c>
    </row>
    <row r="557" spans="1:20" ht="51" customHeight="1">
      <c r="A557" s="19" t="s">
        <v>181</v>
      </c>
      <c r="B557" s="73">
        <v>908</v>
      </c>
      <c r="C557" s="73" t="s">
        <v>367</v>
      </c>
      <c r="D557" s="83" t="s">
        <v>228</v>
      </c>
      <c r="E557" s="83"/>
      <c r="F557" s="79" t="e">
        <f>SUM(F558+#REF!+F574+F591+#REF!+#REF!+#REF!+F585+#REF!)</f>
        <v>#REF!</v>
      </c>
      <c r="G557" s="80"/>
      <c r="H557" s="79">
        <f>H559+H565+H567+H572</f>
        <v>89943000</v>
      </c>
      <c r="I557" s="75"/>
      <c r="J557" s="79">
        <f>J559+J565+J567+J572</f>
        <v>89943000</v>
      </c>
      <c r="K557" s="75"/>
      <c r="L557" s="79">
        <f>L559+L565+L567+L572</f>
        <v>89835531</v>
      </c>
      <c r="M557" s="75"/>
      <c r="N557" s="79">
        <f>N559+N565+N567+N572</f>
        <v>89835531</v>
      </c>
      <c r="O557" s="75"/>
      <c r="P557" s="79">
        <f>P559+P565+P567+P572</f>
        <v>89835531</v>
      </c>
      <c r="Q557" s="50"/>
      <c r="R557" s="79">
        <f>R559+R565+R567+R572+R576</f>
        <v>89935531</v>
      </c>
      <c r="S557" s="50"/>
      <c r="T557" s="79">
        <f>T559+T565+T567+T572+T576</f>
        <v>89935531</v>
      </c>
    </row>
    <row r="558" spans="1:20" ht="51.75" customHeight="1">
      <c r="A558" s="19" t="s">
        <v>181</v>
      </c>
      <c r="B558" s="73" t="s">
        <v>379</v>
      </c>
      <c r="C558" s="73" t="s">
        <v>367</v>
      </c>
      <c r="D558" s="83" t="s">
        <v>183</v>
      </c>
      <c r="E558" s="83"/>
      <c r="F558" s="79" t="e">
        <f>F559+F565+#REF!</f>
        <v>#REF!</v>
      </c>
      <c r="G558" s="80"/>
      <c r="H558" s="79">
        <f>H559+H565+H569+H574</f>
        <v>68488540</v>
      </c>
      <c r="I558" s="75"/>
      <c r="J558" s="79">
        <f>J559+J565+J569+J574</f>
        <v>68488540</v>
      </c>
      <c r="K558" s="75"/>
      <c r="L558" s="79">
        <f>L559+L565+L567+L572</f>
        <v>89835531</v>
      </c>
      <c r="M558" s="75"/>
      <c r="N558" s="79">
        <f>N559+N565+N567+N572</f>
        <v>89835531</v>
      </c>
      <c r="O558" s="75"/>
      <c r="P558" s="79">
        <f>P559+P565+P567+P572</f>
        <v>89835531</v>
      </c>
      <c r="Q558" s="50"/>
      <c r="R558" s="79">
        <f>R559+R565+R567+R572</f>
        <v>89835531</v>
      </c>
      <c r="S558" s="50"/>
      <c r="T558" s="79">
        <f>T559+T565+T567+T572</f>
        <v>89835531</v>
      </c>
    </row>
    <row r="559" spans="1:20" ht="47.25">
      <c r="A559" s="19" t="s">
        <v>198</v>
      </c>
      <c r="B559" s="73" t="s">
        <v>379</v>
      </c>
      <c r="C559" s="73" t="s">
        <v>367</v>
      </c>
      <c r="D559" s="83" t="s">
        <v>184</v>
      </c>
      <c r="E559" s="83"/>
      <c r="F559" s="79">
        <f>F560+F561+F562+F563+F564</f>
        <v>0</v>
      </c>
      <c r="G559" s="80"/>
      <c r="H559" s="79">
        <f>H560+H561+H562+H563+H564</f>
        <v>67542540</v>
      </c>
      <c r="I559" s="75"/>
      <c r="J559" s="79">
        <f>J560+J561+J562+J563+J564</f>
        <v>67542540</v>
      </c>
      <c r="K559" s="75"/>
      <c r="L559" s="79">
        <f>L560+L561+L562+L563+L564</f>
        <v>67542540</v>
      </c>
      <c r="M559" s="75"/>
      <c r="N559" s="79">
        <f>N560+N561+N562+N563+N564</f>
        <v>67542540</v>
      </c>
      <c r="O559" s="75"/>
      <c r="P559" s="79">
        <f>P560+P561+P562+P563+P564</f>
        <v>66542540</v>
      </c>
      <c r="Q559" s="50"/>
      <c r="R559" s="79">
        <f>R560+R561+R562+R563+R564</f>
        <v>66542540</v>
      </c>
      <c r="S559" s="50"/>
      <c r="T559" s="79">
        <f>T560+T561+T562+T563+T564</f>
        <v>66542540</v>
      </c>
    </row>
    <row r="560" spans="1:20" ht="33" customHeight="1">
      <c r="A560" s="14" t="s">
        <v>465</v>
      </c>
      <c r="B560" s="73" t="s">
        <v>379</v>
      </c>
      <c r="C560" s="73" t="s">
        <v>367</v>
      </c>
      <c r="D560" s="83" t="s">
        <v>184</v>
      </c>
      <c r="E560" s="83" t="s">
        <v>460</v>
      </c>
      <c r="F560" s="79">
        <v>0</v>
      </c>
      <c r="G560" s="80">
        <v>24738305</v>
      </c>
      <c r="H560" s="79">
        <v>51449207</v>
      </c>
      <c r="I560" s="75"/>
      <c r="J560" s="76">
        <f>H560+I560</f>
        <v>51449207</v>
      </c>
      <c r="K560" s="75"/>
      <c r="L560" s="76">
        <f>J560+K560</f>
        <v>51449207</v>
      </c>
      <c r="M560" s="75"/>
      <c r="N560" s="76">
        <f>L560+M560</f>
        <v>51449207</v>
      </c>
      <c r="O560" s="75">
        <v>-1000000</v>
      </c>
      <c r="P560" s="76">
        <f>N560+O560</f>
        <v>50449207</v>
      </c>
      <c r="Q560" s="50"/>
      <c r="R560" s="76">
        <f>P560+Q560</f>
        <v>50449207</v>
      </c>
      <c r="S560" s="50"/>
      <c r="T560" s="76">
        <f>R560+S560</f>
        <v>50449207</v>
      </c>
    </row>
    <row r="561" spans="1:20" ht="33" customHeight="1">
      <c r="A561" s="14" t="s">
        <v>466</v>
      </c>
      <c r="B561" s="73" t="s">
        <v>379</v>
      </c>
      <c r="C561" s="73" t="s">
        <v>367</v>
      </c>
      <c r="D561" s="83" t="s">
        <v>184</v>
      </c>
      <c r="E561" s="83" t="s">
        <v>461</v>
      </c>
      <c r="F561" s="79">
        <v>0</v>
      </c>
      <c r="G561" s="80">
        <v>6180</v>
      </c>
      <c r="H561" s="79">
        <f>F561+G561</f>
        <v>6180</v>
      </c>
      <c r="I561" s="75"/>
      <c r="J561" s="76">
        <f>H561+I561</f>
        <v>6180</v>
      </c>
      <c r="K561" s="75"/>
      <c r="L561" s="76">
        <f>J561+K561</f>
        <v>6180</v>
      </c>
      <c r="M561" s="75"/>
      <c r="N561" s="76">
        <f>L561+M561</f>
        <v>6180</v>
      </c>
      <c r="O561" s="75">
        <v>15000</v>
      </c>
      <c r="P561" s="76">
        <f>N561+O561</f>
        <v>21180</v>
      </c>
      <c r="Q561" s="50"/>
      <c r="R561" s="76">
        <f>P561+Q561</f>
        <v>21180</v>
      </c>
      <c r="S561" s="50"/>
      <c r="T561" s="76">
        <f>R561+S561</f>
        <v>21180</v>
      </c>
    </row>
    <row r="562" spans="1:20" ht="49.5" customHeight="1">
      <c r="A562" s="14" t="s">
        <v>467</v>
      </c>
      <c r="B562" s="73" t="s">
        <v>379</v>
      </c>
      <c r="C562" s="73" t="s">
        <v>367</v>
      </c>
      <c r="D562" s="83" t="s">
        <v>184</v>
      </c>
      <c r="E562" s="83" t="s">
        <v>462</v>
      </c>
      <c r="F562" s="79">
        <v>0</v>
      </c>
      <c r="G562" s="80">
        <v>257583</v>
      </c>
      <c r="H562" s="79">
        <v>239024</v>
      </c>
      <c r="I562" s="75"/>
      <c r="J562" s="76">
        <f>H562+I562</f>
        <v>239024</v>
      </c>
      <c r="K562" s="75"/>
      <c r="L562" s="76">
        <f>J562+K562</f>
        <v>239024</v>
      </c>
      <c r="M562" s="75"/>
      <c r="N562" s="76">
        <f>L562+M562</f>
        <v>239024</v>
      </c>
      <c r="O562" s="75"/>
      <c r="P562" s="76">
        <f>N562+O562</f>
        <v>239024</v>
      </c>
      <c r="Q562" s="50"/>
      <c r="R562" s="76">
        <f>P562+Q562</f>
        <v>239024</v>
      </c>
      <c r="S562" s="50"/>
      <c r="T562" s="76">
        <f>R562+S562</f>
        <v>239024</v>
      </c>
    </row>
    <row r="563" spans="1:20" ht="31.5">
      <c r="A563" s="14" t="s">
        <v>491</v>
      </c>
      <c r="B563" s="73" t="s">
        <v>379</v>
      </c>
      <c r="C563" s="73" t="s">
        <v>367</v>
      </c>
      <c r="D563" s="83" t="s">
        <v>184</v>
      </c>
      <c r="E563" s="83" t="s">
        <v>463</v>
      </c>
      <c r="F563" s="79">
        <v>0</v>
      </c>
      <c r="G563" s="80">
        <v>14588551</v>
      </c>
      <c r="H563" s="79">
        <v>15348129</v>
      </c>
      <c r="I563" s="75"/>
      <c r="J563" s="76">
        <f>H563+I563</f>
        <v>15348129</v>
      </c>
      <c r="K563" s="75"/>
      <c r="L563" s="76">
        <f>J563+K563</f>
        <v>15348129</v>
      </c>
      <c r="M563" s="75"/>
      <c r="N563" s="76">
        <f>L563+M563</f>
        <v>15348129</v>
      </c>
      <c r="O563" s="75">
        <v>80000</v>
      </c>
      <c r="P563" s="76">
        <f>N563+O563</f>
        <v>15428129</v>
      </c>
      <c r="Q563" s="50"/>
      <c r="R563" s="76">
        <f>P563+Q563</f>
        <v>15428129</v>
      </c>
      <c r="S563" s="50"/>
      <c r="T563" s="76">
        <f>R563+S563</f>
        <v>15428129</v>
      </c>
    </row>
    <row r="564" spans="1:20" ht="20.25" customHeight="1">
      <c r="A564" s="14" t="s">
        <v>472</v>
      </c>
      <c r="B564" s="73">
        <v>908</v>
      </c>
      <c r="C564" s="73" t="s">
        <v>367</v>
      </c>
      <c r="D564" s="83" t="s">
        <v>184</v>
      </c>
      <c r="E564" s="83" t="s">
        <v>471</v>
      </c>
      <c r="F564" s="79">
        <v>0</v>
      </c>
      <c r="G564" s="80">
        <v>150000</v>
      </c>
      <c r="H564" s="79">
        <v>500000</v>
      </c>
      <c r="I564" s="75"/>
      <c r="J564" s="76">
        <f>H564+I564</f>
        <v>500000</v>
      </c>
      <c r="K564" s="75"/>
      <c r="L564" s="76">
        <f>J564+K564</f>
        <v>500000</v>
      </c>
      <c r="M564" s="75"/>
      <c r="N564" s="76">
        <f>L564+M564</f>
        <v>500000</v>
      </c>
      <c r="O564" s="75">
        <v>-95000</v>
      </c>
      <c r="P564" s="76">
        <f>N564+O564</f>
        <v>405000</v>
      </c>
      <c r="Q564" s="50"/>
      <c r="R564" s="76">
        <f>P564+Q564</f>
        <v>405000</v>
      </c>
      <c r="S564" s="50"/>
      <c r="T564" s="76">
        <f>R564+S564</f>
        <v>405000</v>
      </c>
    </row>
    <row r="565" spans="1:20" ht="63" customHeight="1">
      <c r="A565" s="15" t="s">
        <v>185</v>
      </c>
      <c r="B565" s="73">
        <v>908</v>
      </c>
      <c r="C565" s="73" t="s">
        <v>367</v>
      </c>
      <c r="D565" s="83" t="s">
        <v>186</v>
      </c>
      <c r="E565" s="83"/>
      <c r="F565" s="79" t="e">
        <f>#REF!+F566+#REF!+#REF!+#REF!</f>
        <v>#REF!</v>
      </c>
      <c r="G565" s="80"/>
      <c r="H565" s="79">
        <f>H566</f>
        <v>900000</v>
      </c>
      <c r="I565" s="75"/>
      <c r="J565" s="79">
        <f>J566</f>
        <v>900000</v>
      </c>
      <c r="K565" s="75"/>
      <c r="L565" s="79">
        <f>L566</f>
        <v>900000</v>
      </c>
      <c r="M565" s="75"/>
      <c r="N565" s="79">
        <f>N566</f>
        <v>900000</v>
      </c>
      <c r="O565" s="75"/>
      <c r="P565" s="79">
        <f>P566</f>
        <v>900000</v>
      </c>
      <c r="Q565" s="50"/>
      <c r="R565" s="79">
        <f>R566</f>
        <v>900000</v>
      </c>
      <c r="S565" s="50"/>
      <c r="T565" s="79">
        <f>T566</f>
        <v>900000</v>
      </c>
    </row>
    <row r="566" spans="1:20" ht="42.75" customHeight="1">
      <c r="A566" s="14" t="s">
        <v>491</v>
      </c>
      <c r="B566" s="73">
        <v>908</v>
      </c>
      <c r="C566" s="73" t="s">
        <v>367</v>
      </c>
      <c r="D566" s="83" t="s">
        <v>186</v>
      </c>
      <c r="E566" s="83" t="s">
        <v>463</v>
      </c>
      <c r="F566" s="79">
        <v>0</v>
      </c>
      <c r="G566" s="80">
        <v>685000</v>
      </c>
      <c r="H566" s="79">
        <v>900000</v>
      </c>
      <c r="I566" s="75"/>
      <c r="J566" s="76">
        <f>H566+I566</f>
        <v>900000</v>
      </c>
      <c r="K566" s="75"/>
      <c r="L566" s="76">
        <f>J566+K566</f>
        <v>900000</v>
      </c>
      <c r="M566" s="75"/>
      <c r="N566" s="76">
        <f>L566+M566</f>
        <v>900000</v>
      </c>
      <c r="O566" s="75"/>
      <c r="P566" s="76">
        <f>N566+O566</f>
        <v>900000</v>
      </c>
      <c r="Q566" s="50"/>
      <c r="R566" s="76">
        <f>P566+Q566</f>
        <v>900000</v>
      </c>
      <c r="S566" s="50"/>
      <c r="T566" s="76">
        <f>R566+S566</f>
        <v>900000</v>
      </c>
    </row>
    <row r="567" spans="1:20" ht="24.75" customHeight="1">
      <c r="A567" s="40" t="s">
        <v>187</v>
      </c>
      <c r="B567" s="73">
        <v>908</v>
      </c>
      <c r="C567" s="73" t="s">
        <v>367</v>
      </c>
      <c r="D567" s="83" t="s">
        <v>188</v>
      </c>
      <c r="E567" s="83"/>
      <c r="F567" s="79">
        <f>SUM(F569+F568+F570+F571)</f>
        <v>0</v>
      </c>
      <c r="G567" s="80"/>
      <c r="H567" s="79">
        <f>SUM(H569+H568+H570+H571)</f>
        <v>18902000</v>
      </c>
      <c r="I567" s="75"/>
      <c r="J567" s="79">
        <f>SUM(J569+J568+J570+J571)</f>
        <v>18902000</v>
      </c>
      <c r="K567" s="75"/>
      <c r="L567" s="79">
        <f>SUM(L569+L568+L570+L571)</f>
        <v>18794531</v>
      </c>
      <c r="M567" s="75"/>
      <c r="N567" s="79">
        <f>SUM(N569+N568+N570+N571)</f>
        <v>18794531</v>
      </c>
      <c r="O567" s="75"/>
      <c r="P567" s="79">
        <f>SUM(P569+P568+P570+P571)</f>
        <v>19794531</v>
      </c>
      <c r="Q567" s="50"/>
      <c r="R567" s="79">
        <f>SUM(R569+R568+R570+R571)</f>
        <v>19794531</v>
      </c>
      <c r="S567" s="50"/>
      <c r="T567" s="79">
        <f>SUM(T569+T568+T570+T571)</f>
        <v>19794531</v>
      </c>
    </row>
    <row r="568" spans="1:20" ht="15.75">
      <c r="A568" s="14" t="s">
        <v>465</v>
      </c>
      <c r="B568" s="73" t="s">
        <v>379</v>
      </c>
      <c r="C568" s="73" t="s">
        <v>367</v>
      </c>
      <c r="D568" s="83" t="s">
        <v>188</v>
      </c>
      <c r="E568" s="83" t="s">
        <v>460</v>
      </c>
      <c r="F568" s="79">
        <v>0</v>
      </c>
      <c r="G568" s="80">
        <v>8880042</v>
      </c>
      <c r="H568" s="79">
        <v>16096139</v>
      </c>
      <c r="I568" s="75"/>
      <c r="J568" s="76">
        <f>H568+I568</f>
        <v>16096139</v>
      </c>
      <c r="K568" s="75"/>
      <c r="L568" s="76">
        <f>J568+K568</f>
        <v>16096139</v>
      </c>
      <c r="M568" s="75"/>
      <c r="N568" s="76">
        <f>L568+M568</f>
        <v>16096139</v>
      </c>
      <c r="O568" s="75">
        <v>1000000</v>
      </c>
      <c r="P568" s="76">
        <f>N568+O568</f>
        <v>17096139</v>
      </c>
      <c r="Q568" s="50"/>
      <c r="R568" s="76">
        <f>P568+Q568</f>
        <v>17096139</v>
      </c>
      <c r="S568" s="50"/>
      <c r="T568" s="76">
        <f>R568+S568</f>
        <v>17096139</v>
      </c>
    </row>
    <row r="569" spans="1:20" ht="31.5" customHeight="1">
      <c r="A569" s="14" t="s">
        <v>466</v>
      </c>
      <c r="B569" s="73" t="s">
        <v>379</v>
      </c>
      <c r="C569" s="73" t="s">
        <v>367</v>
      </c>
      <c r="D569" s="83" t="s">
        <v>188</v>
      </c>
      <c r="E569" s="83" t="s">
        <v>461</v>
      </c>
      <c r="F569" s="79">
        <v>0</v>
      </c>
      <c r="G569" s="80">
        <v>13327</v>
      </c>
      <c r="H569" s="79">
        <v>20000</v>
      </c>
      <c r="I569" s="75"/>
      <c r="J569" s="76">
        <f>H569+I569</f>
        <v>20000</v>
      </c>
      <c r="K569" s="75"/>
      <c r="L569" s="76">
        <f>J569+K569</f>
        <v>20000</v>
      </c>
      <c r="M569" s="75"/>
      <c r="N569" s="76">
        <f>L569+M569</f>
        <v>20000</v>
      </c>
      <c r="O569" s="75"/>
      <c r="P569" s="76">
        <f>N569+O569</f>
        <v>20000</v>
      </c>
      <c r="Q569" s="50"/>
      <c r="R569" s="76">
        <f>P569+Q569</f>
        <v>20000</v>
      </c>
      <c r="S569" s="50"/>
      <c r="T569" s="76">
        <f>R569+S569</f>
        <v>20000</v>
      </c>
    </row>
    <row r="570" spans="1:20" ht="49.5" customHeight="1">
      <c r="A570" s="14" t="s">
        <v>467</v>
      </c>
      <c r="B570" s="73" t="s">
        <v>379</v>
      </c>
      <c r="C570" s="73" t="s">
        <v>367</v>
      </c>
      <c r="D570" s="83" t="s">
        <v>188</v>
      </c>
      <c r="E570" s="83" t="s">
        <v>462</v>
      </c>
      <c r="F570" s="79">
        <v>0</v>
      </c>
      <c r="G570" s="80">
        <v>246100</v>
      </c>
      <c r="H570" s="79">
        <v>672655</v>
      </c>
      <c r="I570" s="75"/>
      <c r="J570" s="76">
        <f>H570+I570</f>
        <v>672655</v>
      </c>
      <c r="K570" s="75">
        <v>-107469</v>
      </c>
      <c r="L570" s="76">
        <f>J570+K570</f>
        <v>565186</v>
      </c>
      <c r="M570" s="75"/>
      <c r="N570" s="76">
        <f>L570+M570</f>
        <v>565186</v>
      </c>
      <c r="O570" s="75"/>
      <c r="P570" s="76">
        <f>N570+O570</f>
        <v>565186</v>
      </c>
      <c r="Q570" s="50"/>
      <c r="R570" s="76">
        <f>P570+Q570</f>
        <v>565186</v>
      </c>
      <c r="S570" s="50"/>
      <c r="T570" s="76">
        <f>R570+S570</f>
        <v>565186</v>
      </c>
    </row>
    <row r="571" spans="1:20" ht="32.25" customHeight="1">
      <c r="A571" s="14" t="s">
        <v>491</v>
      </c>
      <c r="B571" s="73" t="s">
        <v>379</v>
      </c>
      <c r="C571" s="73" t="s">
        <v>367</v>
      </c>
      <c r="D571" s="83" t="s">
        <v>188</v>
      </c>
      <c r="E571" s="83" t="s">
        <v>463</v>
      </c>
      <c r="F571" s="79">
        <v>0</v>
      </c>
      <c r="G571" s="80">
        <v>1792922</v>
      </c>
      <c r="H571" s="79">
        <v>2113206</v>
      </c>
      <c r="I571" s="75"/>
      <c r="J571" s="76">
        <f>H571+I571</f>
        <v>2113206</v>
      </c>
      <c r="K571" s="75"/>
      <c r="L571" s="76">
        <f>J571+K571</f>
        <v>2113206</v>
      </c>
      <c r="M571" s="75"/>
      <c r="N571" s="76">
        <f>L571+M571</f>
        <v>2113206</v>
      </c>
      <c r="O571" s="75"/>
      <c r="P571" s="76">
        <f>N571+O571</f>
        <v>2113206</v>
      </c>
      <c r="Q571" s="50"/>
      <c r="R571" s="76">
        <f>P571+Q571</f>
        <v>2113206</v>
      </c>
      <c r="S571" s="50"/>
      <c r="T571" s="76">
        <f>R571+S571</f>
        <v>2113206</v>
      </c>
    </row>
    <row r="572" spans="1:20" ht="36" customHeight="1">
      <c r="A572" s="45" t="s">
        <v>189</v>
      </c>
      <c r="B572" s="73">
        <v>908</v>
      </c>
      <c r="C572" s="73" t="s">
        <v>367</v>
      </c>
      <c r="D572" s="83" t="s">
        <v>192</v>
      </c>
      <c r="E572" s="83"/>
      <c r="F572" s="79" t="e">
        <f>F573+F574+#REF!</f>
        <v>#REF!</v>
      </c>
      <c r="G572" s="80"/>
      <c r="H572" s="79">
        <f>H573+H574</f>
        <v>2598460</v>
      </c>
      <c r="I572" s="75"/>
      <c r="J572" s="79">
        <f>J573+J574</f>
        <v>2598460</v>
      </c>
      <c r="K572" s="75"/>
      <c r="L572" s="79">
        <f>L573+L574</f>
        <v>2598460</v>
      </c>
      <c r="M572" s="75"/>
      <c r="N572" s="79">
        <f>N573+N574</f>
        <v>2598460</v>
      </c>
      <c r="O572" s="75"/>
      <c r="P572" s="79">
        <f>P573+P574+P575</f>
        <v>2598460</v>
      </c>
      <c r="Q572" s="50"/>
      <c r="R572" s="79">
        <f>R573+R574+R575</f>
        <v>2598460</v>
      </c>
      <c r="S572" s="50"/>
      <c r="T572" s="79">
        <f>T573+T574+T575</f>
        <v>2598460</v>
      </c>
    </row>
    <row r="573" spans="1:20" ht="15.75">
      <c r="A573" s="14" t="s">
        <v>465</v>
      </c>
      <c r="B573" s="73">
        <v>908</v>
      </c>
      <c r="C573" s="73" t="s">
        <v>367</v>
      </c>
      <c r="D573" s="83" t="s">
        <v>192</v>
      </c>
      <c r="E573" s="83" t="s">
        <v>460</v>
      </c>
      <c r="F573" s="79">
        <v>0</v>
      </c>
      <c r="G573" s="80">
        <v>1552790</v>
      </c>
      <c r="H573" s="79">
        <v>2572460</v>
      </c>
      <c r="I573" s="75"/>
      <c r="J573" s="76">
        <f>H573+I573</f>
        <v>2572460</v>
      </c>
      <c r="K573" s="75"/>
      <c r="L573" s="76">
        <f>J573+K573</f>
        <v>2572460</v>
      </c>
      <c r="M573" s="75"/>
      <c r="N573" s="76">
        <f>L573+M573</f>
        <v>2572460</v>
      </c>
      <c r="O573" s="75"/>
      <c r="P573" s="76">
        <f>N573+O573</f>
        <v>2572460</v>
      </c>
      <c r="Q573" s="50"/>
      <c r="R573" s="76">
        <f>P573+Q573</f>
        <v>2572460</v>
      </c>
      <c r="S573" s="50"/>
      <c r="T573" s="76">
        <f>R573+S573</f>
        <v>2572460</v>
      </c>
    </row>
    <row r="574" spans="1:20" ht="34.5" customHeight="1">
      <c r="A574" s="14" t="s">
        <v>466</v>
      </c>
      <c r="B574" s="73" t="s">
        <v>379</v>
      </c>
      <c r="C574" s="73" t="s">
        <v>367</v>
      </c>
      <c r="D574" s="83" t="s">
        <v>192</v>
      </c>
      <c r="E574" s="83" t="s">
        <v>461</v>
      </c>
      <c r="F574" s="79">
        <v>0</v>
      </c>
      <c r="G574" s="80">
        <v>20000</v>
      </c>
      <c r="H574" s="79">
        <v>26000</v>
      </c>
      <c r="I574" s="75"/>
      <c r="J574" s="76">
        <f>H574+I574</f>
        <v>26000</v>
      </c>
      <c r="K574" s="75"/>
      <c r="L574" s="76">
        <f>J574+K574</f>
        <v>26000</v>
      </c>
      <c r="M574" s="75"/>
      <c r="N574" s="76">
        <f>L574+M574</f>
        <v>26000</v>
      </c>
      <c r="O574" s="75">
        <v>-20000</v>
      </c>
      <c r="P574" s="76">
        <f>N574+O574</f>
        <v>6000</v>
      </c>
      <c r="Q574" s="50"/>
      <c r="R574" s="76">
        <f>P574+Q574</f>
        <v>6000</v>
      </c>
      <c r="S574" s="50"/>
      <c r="T574" s="76">
        <f>R574+S574</f>
        <v>6000</v>
      </c>
    </row>
    <row r="575" spans="1:20" ht="34.5" customHeight="1">
      <c r="A575" s="14" t="s">
        <v>491</v>
      </c>
      <c r="B575" s="73" t="s">
        <v>379</v>
      </c>
      <c r="C575" s="73" t="s">
        <v>367</v>
      </c>
      <c r="D575" s="83" t="s">
        <v>192</v>
      </c>
      <c r="E575" s="83" t="s">
        <v>463</v>
      </c>
      <c r="F575" s="79"/>
      <c r="G575" s="80"/>
      <c r="H575" s="79"/>
      <c r="I575" s="75"/>
      <c r="J575" s="76"/>
      <c r="K575" s="75"/>
      <c r="L575" s="76"/>
      <c r="M575" s="75"/>
      <c r="N575" s="76"/>
      <c r="O575" s="75">
        <v>20000</v>
      </c>
      <c r="P575" s="76">
        <f>N575+O575</f>
        <v>20000</v>
      </c>
      <c r="Q575" s="50"/>
      <c r="R575" s="76">
        <f>P575+Q575</f>
        <v>20000</v>
      </c>
      <c r="S575" s="50"/>
      <c r="T575" s="76">
        <f>R575+S575</f>
        <v>20000</v>
      </c>
    </row>
    <row r="576" spans="1:20" ht="81" customHeight="1">
      <c r="A576" s="14" t="s">
        <v>81</v>
      </c>
      <c r="B576" s="83" t="s">
        <v>379</v>
      </c>
      <c r="C576" s="83" t="s">
        <v>367</v>
      </c>
      <c r="D576" s="83" t="s">
        <v>82</v>
      </c>
      <c r="E576" s="83"/>
      <c r="F576" s="79"/>
      <c r="G576" s="80"/>
      <c r="H576" s="79"/>
      <c r="I576" s="114"/>
      <c r="J576" s="115"/>
      <c r="K576" s="116"/>
      <c r="L576" s="115"/>
      <c r="M576" s="116"/>
      <c r="N576" s="115"/>
      <c r="O576" s="116"/>
      <c r="P576" s="117"/>
      <c r="Q576" s="119"/>
      <c r="R576" s="76">
        <f>R577</f>
        <v>100000</v>
      </c>
      <c r="S576" s="50"/>
      <c r="T576" s="76">
        <f>T577</f>
        <v>100000</v>
      </c>
    </row>
    <row r="577" spans="1:20" ht="21" customHeight="1">
      <c r="A577" s="14" t="s">
        <v>465</v>
      </c>
      <c r="B577" s="83" t="s">
        <v>379</v>
      </c>
      <c r="C577" s="83" t="s">
        <v>367</v>
      </c>
      <c r="D577" s="83" t="s">
        <v>82</v>
      </c>
      <c r="E577" s="83" t="s">
        <v>460</v>
      </c>
      <c r="F577" s="79"/>
      <c r="G577" s="80"/>
      <c r="H577" s="79"/>
      <c r="I577" s="114"/>
      <c r="J577" s="115"/>
      <c r="K577" s="116"/>
      <c r="L577" s="115"/>
      <c r="M577" s="116"/>
      <c r="N577" s="115"/>
      <c r="O577" s="116"/>
      <c r="P577" s="117"/>
      <c r="Q577" s="119">
        <v>100000</v>
      </c>
      <c r="R577" s="76">
        <f>P577+Q577</f>
        <v>100000</v>
      </c>
      <c r="S577" s="50"/>
      <c r="T577" s="76">
        <f>R577+S577</f>
        <v>100000</v>
      </c>
    </row>
    <row r="578" spans="1:20" ht="20.25" customHeight="1">
      <c r="A578" s="27" t="s">
        <v>118</v>
      </c>
      <c r="B578" s="83" t="s">
        <v>379</v>
      </c>
      <c r="C578" s="83" t="s">
        <v>367</v>
      </c>
      <c r="D578" s="83"/>
      <c r="E578" s="83"/>
      <c r="F578" s="79"/>
      <c r="G578" s="80"/>
      <c r="H578" s="79"/>
      <c r="I578" s="75"/>
      <c r="J578" s="76"/>
      <c r="K578" s="75"/>
      <c r="L578" s="76">
        <f>L579</f>
        <v>100000</v>
      </c>
      <c r="M578" s="75"/>
      <c r="N578" s="76">
        <f>N579</f>
        <v>100000</v>
      </c>
      <c r="O578" s="75"/>
      <c r="P578" s="76">
        <f>P579</f>
        <v>100000</v>
      </c>
      <c r="Q578" s="50"/>
      <c r="R578" s="76">
        <f>R579</f>
        <v>134000</v>
      </c>
      <c r="S578" s="50"/>
      <c r="T578" s="76">
        <f>T579</f>
        <v>134000</v>
      </c>
    </row>
    <row r="579" spans="1:20" ht="20.25" customHeight="1">
      <c r="A579" s="27" t="s">
        <v>263</v>
      </c>
      <c r="B579" s="83" t="s">
        <v>379</v>
      </c>
      <c r="C579" s="83" t="s">
        <v>367</v>
      </c>
      <c r="D579" s="83" t="s">
        <v>264</v>
      </c>
      <c r="E579" s="83"/>
      <c r="F579" s="79"/>
      <c r="G579" s="80"/>
      <c r="H579" s="79"/>
      <c r="I579" s="75"/>
      <c r="J579" s="76"/>
      <c r="K579" s="75"/>
      <c r="L579" s="76">
        <f>L580+L581</f>
        <v>100000</v>
      </c>
      <c r="M579" s="75"/>
      <c r="N579" s="76">
        <f>N580+N581</f>
        <v>100000</v>
      </c>
      <c r="O579" s="75"/>
      <c r="P579" s="76">
        <f>P580+P581</f>
        <v>100000</v>
      </c>
      <c r="Q579" s="50"/>
      <c r="R579" s="76">
        <f>R580+R581</f>
        <v>134000</v>
      </c>
      <c r="S579" s="50"/>
      <c r="T579" s="76">
        <f>T580+T581</f>
        <v>134000</v>
      </c>
    </row>
    <row r="580" spans="1:20" ht="34.5" customHeight="1">
      <c r="A580" s="14" t="s">
        <v>467</v>
      </c>
      <c r="B580" s="83" t="s">
        <v>379</v>
      </c>
      <c r="C580" s="83" t="s">
        <v>367</v>
      </c>
      <c r="D580" s="83" t="s">
        <v>264</v>
      </c>
      <c r="E580" s="83" t="s">
        <v>462</v>
      </c>
      <c r="F580" s="79"/>
      <c r="G580" s="80"/>
      <c r="H580" s="79"/>
      <c r="I580" s="75"/>
      <c r="J580" s="76"/>
      <c r="K580" s="75">
        <v>53336</v>
      </c>
      <c r="L580" s="76">
        <f>J580+K580</f>
        <v>53336</v>
      </c>
      <c r="M580" s="75"/>
      <c r="N580" s="76">
        <f>L580+M580</f>
        <v>53336</v>
      </c>
      <c r="O580" s="75"/>
      <c r="P580" s="76">
        <f>N580+O580</f>
        <v>53336</v>
      </c>
      <c r="Q580" s="50"/>
      <c r="R580" s="76">
        <f>P580+Q580</f>
        <v>53336</v>
      </c>
      <c r="S580" s="50"/>
      <c r="T580" s="76">
        <f>R580+S580</f>
        <v>53336</v>
      </c>
    </row>
    <row r="581" spans="1:20" ht="34.5" customHeight="1">
      <c r="A581" s="12" t="s">
        <v>491</v>
      </c>
      <c r="B581" s="83" t="s">
        <v>379</v>
      </c>
      <c r="C581" s="83" t="s">
        <v>367</v>
      </c>
      <c r="D581" s="83" t="s">
        <v>264</v>
      </c>
      <c r="E581" s="83" t="s">
        <v>463</v>
      </c>
      <c r="F581" s="79"/>
      <c r="G581" s="80"/>
      <c r="H581" s="79"/>
      <c r="I581" s="75"/>
      <c r="J581" s="76"/>
      <c r="K581" s="75">
        <v>46664</v>
      </c>
      <c r="L581" s="76">
        <f>J581+K581</f>
        <v>46664</v>
      </c>
      <c r="M581" s="75"/>
      <c r="N581" s="76">
        <f>L581+M581</f>
        <v>46664</v>
      </c>
      <c r="O581" s="75"/>
      <c r="P581" s="76">
        <f>N581+O581</f>
        <v>46664</v>
      </c>
      <c r="Q581" s="50">
        <f>34000</f>
        <v>34000</v>
      </c>
      <c r="R581" s="76">
        <f>P581+Q581</f>
        <v>80664</v>
      </c>
      <c r="S581" s="50"/>
      <c r="T581" s="76">
        <f>R581+S581</f>
        <v>80664</v>
      </c>
    </row>
    <row r="582" spans="1:20" ht="66" customHeight="1">
      <c r="A582" s="14" t="s">
        <v>199</v>
      </c>
      <c r="B582" s="73" t="s">
        <v>379</v>
      </c>
      <c r="C582" s="73" t="s">
        <v>431</v>
      </c>
      <c r="D582" s="73" t="s">
        <v>182</v>
      </c>
      <c r="E582" s="73"/>
      <c r="F582" s="79"/>
      <c r="G582" s="80"/>
      <c r="H582" s="79">
        <f>H583+H591</f>
        <v>11518000</v>
      </c>
      <c r="I582" s="75"/>
      <c r="J582" s="79">
        <f>J583+J591</f>
        <v>11068000</v>
      </c>
      <c r="K582" s="75"/>
      <c r="L582" s="79">
        <f>L583+L591</f>
        <v>11068000</v>
      </c>
      <c r="M582" s="75"/>
      <c r="N582" s="79">
        <f>N583+N591</f>
        <v>11068000</v>
      </c>
      <c r="O582" s="75"/>
      <c r="P582" s="79">
        <f>P583+P591</f>
        <v>10768000</v>
      </c>
      <c r="Q582" s="50"/>
      <c r="R582" s="79">
        <f>R583+R591</f>
        <v>17666765</v>
      </c>
      <c r="S582" s="50"/>
      <c r="T582" s="79">
        <f>T583+T591</f>
        <v>17666765</v>
      </c>
    </row>
    <row r="583" spans="1:20" ht="48" customHeight="1">
      <c r="A583" s="19" t="s">
        <v>328</v>
      </c>
      <c r="B583" s="73" t="s">
        <v>379</v>
      </c>
      <c r="C583" s="73" t="s">
        <v>431</v>
      </c>
      <c r="D583" s="73" t="s">
        <v>228</v>
      </c>
      <c r="E583" s="73"/>
      <c r="F583" s="79"/>
      <c r="G583" s="80"/>
      <c r="H583" s="79">
        <f>H585+H588</f>
        <v>11050000</v>
      </c>
      <c r="I583" s="75"/>
      <c r="J583" s="79">
        <f>J585+J588</f>
        <v>10600000</v>
      </c>
      <c r="K583" s="75"/>
      <c r="L583" s="79">
        <f>L584+L587</f>
        <v>10600000</v>
      </c>
      <c r="M583" s="75"/>
      <c r="N583" s="79">
        <f>N584+N587</f>
        <v>10600000</v>
      </c>
      <c r="O583" s="75"/>
      <c r="P583" s="79">
        <f>P584+P587</f>
        <v>10300000</v>
      </c>
      <c r="Q583" s="50"/>
      <c r="R583" s="79">
        <f>R584+R587+R589</f>
        <v>17198765</v>
      </c>
      <c r="S583" s="50"/>
      <c r="T583" s="79">
        <f>T584+T587+T589</f>
        <v>17198765</v>
      </c>
    </row>
    <row r="584" spans="1:20" ht="78.75" customHeight="1">
      <c r="A584" s="14" t="s">
        <v>190</v>
      </c>
      <c r="B584" s="73" t="s">
        <v>379</v>
      </c>
      <c r="C584" s="73" t="s">
        <v>431</v>
      </c>
      <c r="D584" s="83" t="s">
        <v>193</v>
      </c>
      <c r="E584" s="73"/>
      <c r="F584" s="79"/>
      <c r="G584" s="80"/>
      <c r="H584" s="79"/>
      <c r="I584" s="75"/>
      <c r="J584" s="79"/>
      <c r="K584" s="75"/>
      <c r="L584" s="79">
        <f>L585+L586</f>
        <v>10000000</v>
      </c>
      <c r="M584" s="75"/>
      <c r="N584" s="79">
        <f>N585+N586</f>
        <v>10000000</v>
      </c>
      <c r="O584" s="75"/>
      <c r="P584" s="79">
        <f>P585+P586</f>
        <v>9700000</v>
      </c>
      <c r="Q584" s="50"/>
      <c r="R584" s="79">
        <f>R585+R586</f>
        <v>9700000</v>
      </c>
      <c r="S584" s="50"/>
      <c r="T584" s="79">
        <f>T585+T586</f>
        <v>9700000</v>
      </c>
    </row>
    <row r="585" spans="1:20" ht="46.5" customHeight="1">
      <c r="A585" s="36" t="s">
        <v>39</v>
      </c>
      <c r="B585" s="73" t="s">
        <v>379</v>
      </c>
      <c r="C585" s="73" t="s">
        <v>431</v>
      </c>
      <c r="D585" s="83" t="s">
        <v>193</v>
      </c>
      <c r="E585" s="73" t="s">
        <v>470</v>
      </c>
      <c r="F585" s="79">
        <f>F588</f>
        <v>0</v>
      </c>
      <c r="G585" s="80"/>
      <c r="H585" s="79">
        <v>10450000</v>
      </c>
      <c r="I585" s="75">
        <v>-450000</v>
      </c>
      <c r="J585" s="76">
        <f>H585+I585</f>
        <v>10000000</v>
      </c>
      <c r="K585" s="75">
        <v>-1000000</v>
      </c>
      <c r="L585" s="76">
        <f>J585+K585</f>
        <v>9000000</v>
      </c>
      <c r="M585" s="75"/>
      <c r="N585" s="76">
        <f>L585+M585</f>
        <v>9000000</v>
      </c>
      <c r="O585" s="75">
        <v>-300000</v>
      </c>
      <c r="P585" s="76">
        <f>N585+O585</f>
        <v>8700000</v>
      </c>
      <c r="Q585" s="50">
        <f>891436.66</f>
        <v>891436.66</v>
      </c>
      <c r="R585" s="76">
        <f>P585+Q585</f>
        <v>9591436.66</v>
      </c>
      <c r="S585" s="50"/>
      <c r="T585" s="76">
        <f>R585+S585</f>
        <v>9591436.66</v>
      </c>
    </row>
    <row r="586" spans="1:20" ht="34.5" customHeight="1">
      <c r="A586" s="12" t="s">
        <v>491</v>
      </c>
      <c r="B586" s="73" t="s">
        <v>379</v>
      </c>
      <c r="C586" s="73" t="s">
        <v>431</v>
      </c>
      <c r="D586" s="83" t="s">
        <v>193</v>
      </c>
      <c r="E586" s="73" t="s">
        <v>463</v>
      </c>
      <c r="F586" s="79"/>
      <c r="G586" s="80"/>
      <c r="H586" s="79"/>
      <c r="I586" s="75"/>
      <c r="J586" s="76"/>
      <c r="K586" s="75">
        <v>1000000</v>
      </c>
      <c r="L586" s="76">
        <f>J586+K586</f>
        <v>1000000</v>
      </c>
      <c r="M586" s="75"/>
      <c r="N586" s="76">
        <f>L586+M586</f>
        <v>1000000</v>
      </c>
      <c r="O586" s="75"/>
      <c r="P586" s="76">
        <f>N586+O586</f>
        <v>1000000</v>
      </c>
      <c r="Q586" s="50">
        <f>-891436.66</f>
        <v>-891436.66</v>
      </c>
      <c r="R586" s="76">
        <f>P586+Q586</f>
        <v>108563.33999999997</v>
      </c>
      <c r="S586" s="50"/>
      <c r="T586" s="76">
        <f>R586+S586</f>
        <v>108563.33999999997</v>
      </c>
    </row>
    <row r="587" spans="1:20" ht="50.25" customHeight="1">
      <c r="A587" s="14" t="s">
        <v>191</v>
      </c>
      <c r="B587" s="73" t="s">
        <v>379</v>
      </c>
      <c r="C587" s="73" t="s">
        <v>431</v>
      </c>
      <c r="D587" s="83" t="s">
        <v>194</v>
      </c>
      <c r="E587" s="73"/>
      <c r="F587" s="79"/>
      <c r="G587" s="80"/>
      <c r="H587" s="79"/>
      <c r="I587" s="75"/>
      <c r="J587" s="76"/>
      <c r="K587" s="75"/>
      <c r="L587" s="76">
        <f>L588</f>
        <v>600000</v>
      </c>
      <c r="M587" s="75"/>
      <c r="N587" s="76">
        <f>N588</f>
        <v>600000</v>
      </c>
      <c r="O587" s="75"/>
      <c r="P587" s="76">
        <f>P588</f>
        <v>600000</v>
      </c>
      <c r="Q587" s="50"/>
      <c r="R587" s="76">
        <f>R588</f>
        <v>600000</v>
      </c>
      <c r="S587" s="50"/>
      <c r="T587" s="76">
        <f>T588</f>
        <v>600000</v>
      </c>
    </row>
    <row r="588" spans="1:20" ht="18.75" customHeight="1">
      <c r="A588" s="14" t="s">
        <v>472</v>
      </c>
      <c r="B588" s="73" t="s">
        <v>379</v>
      </c>
      <c r="C588" s="73" t="s">
        <v>431</v>
      </c>
      <c r="D588" s="83" t="s">
        <v>194</v>
      </c>
      <c r="E588" s="73" t="s">
        <v>471</v>
      </c>
      <c r="F588" s="79">
        <v>0</v>
      </c>
      <c r="G588" s="80">
        <v>42420</v>
      </c>
      <c r="H588" s="79">
        <v>600000</v>
      </c>
      <c r="I588" s="75"/>
      <c r="J588" s="76">
        <f>H588+I588</f>
        <v>600000</v>
      </c>
      <c r="K588" s="75"/>
      <c r="L588" s="76">
        <f>J588+K588</f>
        <v>600000</v>
      </c>
      <c r="M588" s="75"/>
      <c r="N588" s="76">
        <f>L588+M588</f>
        <v>600000</v>
      </c>
      <c r="O588" s="75"/>
      <c r="P588" s="76">
        <f>N588+O588</f>
        <v>600000</v>
      </c>
      <c r="Q588" s="50"/>
      <c r="R588" s="76">
        <f>P588+Q588</f>
        <v>600000</v>
      </c>
      <c r="S588" s="50"/>
      <c r="T588" s="76">
        <f>R588+S588</f>
        <v>600000</v>
      </c>
    </row>
    <row r="589" spans="1:20" ht="208.5" customHeight="1">
      <c r="A589" s="14" t="s">
        <v>83</v>
      </c>
      <c r="B589" s="73" t="s">
        <v>379</v>
      </c>
      <c r="C589" s="73" t="s">
        <v>431</v>
      </c>
      <c r="D589" s="83" t="s">
        <v>84</v>
      </c>
      <c r="E589" s="73"/>
      <c r="F589" s="79"/>
      <c r="G589" s="80"/>
      <c r="H589" s="79"/>
      <c r="I589" s="114"/>
      <c r="J589" s="115"/>
      <c r="K589" s="116"/>
      <c r="L589" s="115"/>
      <c r="M589" s="116"/>
      <c r="N589" s="115"/>
      <c r="O589" s="116"/>
      <c r="P589" s="117"/>
      <c r="Q589" s="118"/>
      <c r="R589" s="76">
        <f>R590</f>
        <v>6898765</v>
      </c>
      <c r="S589" s="50"/>
      <c r="T589" s="76">
        <f>T590</f>
        <v>6898765</v>
      </c>
    </row>
    <row r="590" spans="1:20" ht="53.25" customHeight="1">
      <c r="A590" s="120" t="s">
        <v>39</v>
      </c>
      <c r="B590" s="73" t="s">
        <v>379</v>
      </c>
      <c r="C590" s="73" t="s">
        <v>431</v>
      </c>
      <c r="D590" s="83" t="s">
        <v>84</v>
      </c>
      <c r="E590" s="73" t="s">
        <v>470</v>
      </c>
      <c r="F590" s="79"/>
      <c r="G590" s="80"/>
      <c r="H590" s="79"/>
      <c r="I590" s="114"/>
      <c r="J590" s="115"/>
      <c r="K590" s="116"/>
      <c r="L590" s="115"/>
      <c r="M590" s="116"/>
      <c r="N590" s="115"/>
      <c r="O590" s="116"/>
      <c r="P590" s="117"/>
      <c r="Q590" s="118">
        <f>6898765</f>
        <v>6898765</v>
      </c>
      <c r="R590" s="76">
        <f>P590+Q590</f>
        <v>6898765</v>
      </c>
      <c r="S590" s="50"/>
      <c r="T590" s="76">
        <f>R590+S590</f>
        <v>6898765</v>
      </c>
    </row>
    <row r="591" spans="1:20" ht="84.75" customHeight="1">
      <c r="A591" s="14" t="s">
        <v>195</v>
      </c>
      <c r="B591" s="73">
        <v>908</v>
      </c>
      <c r="C591" s="73" t="s">
        <v>431</v>
      </c>
      <c r="D591" s="83" t="s">
        <v>197</v>
      </c>
      <c r="E591" s="73"/>
      <c r="F591" s="57" t="e">
        <f>#REF!+F596+F592</f>
        <v>#REF!</v>
      </c>
      <c r="G591" s="73"/>
      <c r="H591" s="57">
        <f>H596+H592</f>
        <v>468000</v>
      </c>
      <c r="I591" s="75"/>
      <c r="J591" s="57">
        <f>J596+J592</f>
        <v>468000</v>
      </c>
      <c r="K591" s="75"/>
      <c r="L591" s="57">
        <f>L596+L592</f>
        <v>468000</v>
      </c>
      <c r="M591" s="75"/>
      <c r="N591" s="57">
        <f>N596+N592</f>
        <v>468000</v>
      </c>
      <c r="O591" s="75"/>
      <c r="P591" s="57">
        <f>P596+P592</f>
        <v>468000</v>
      </c>
      <c r="Q591" s="50"/>
      <c r="R591" s="57">
        <f>R596+R592</f>
        <v>468000</v>
      </c>
      <c r="S591" s="50"/>
      <c r="T591" s="57">
        <f>T596+T592</f>
        <v>468000</v>
      </c>
    </row>
    <row r="592" spans="1:20" ht="48" customHeight="1">
      <c r="A592" s="46" t="s">
        <v>109</v>
      </c>
      <c r="B592" s="83" t="s">
        <v>379</v>
      </c>
      <c r="C592" s="83" t="s">
        <v>431</v>
      </c>
      <c r="D592" s="83" t="s">
        <v>196</v>
      </c>
      <c r="E592" s="83"/>
      <c r="F592" s="57">
        <f>F593+F594+F595</f>
        <v>0</v>
      </c>
      <c r="G592" s="73"/>
      <c r="H592" s="57">
        <f>H593+H594+H595</f>
        <v>468000</v>
      </c>
      <c r="I592" s="75"/>
      <c r="J592" s="57">
        <f>J593+J594+J595</f>
        <v>468000</v>
      </c>
      <c r="K592" s="75"/>
      <c r="L592" s="57">
        <f>L593+L594+L595</f>
        <v>468000</v>
      </c>
      <c r="M592" s="75"/>
      <c r="N592" s="57">
        <f>N593+N594+N595</f>
        <v>468000</v>
      </c>
      <c r="O592" s="75"/>
      <c r="P592" s="57">
        <f>P593+P594+P595</f>
        <v>468000</v>
      </c>
      <c r="Q592" s="50"/>
      <c r="R592" s="57">
        <f>R593+R594+R595</f>
        <v>468000</v>
      </c>
      <c r="S592" s="50"/>
      <c r="T592" s="57">
        <f>T593+T594+T595</f>
        <v>468000</v>
      </c>
    </row>
    <row r="593" spans="1:20" ht="15.75">
      <c r="A593" s="12" t="s">
        <v>465</v>
      </c>
      <c r="B593" s="83" t="s">
        <v>379</v>
      </c>
      <c r="C593" s="83" t="s">
        <v>431</v>
      </c>
      <c r="D593" s="83" t="s">
        <v>196</v>
      </c>
      <c r="E593" s="83" t="s">
        <v>475</v>
      </c>
      <c r="F593" s="79">
        <v>0</v>
      </c>
      <c r="G593" s="80">
        <v>426546</v>
      </c>
      <c r="H593" s="79">
        <v>462526</v>
      </c>
      <c r="I593" s="75"/>
      <c r="J593" s="76">
        <f>H593+I593</f>
        <v>462526</v>
      </c>
      <c r="K593" s="75"/>
      <c r="L593" s="76">
        <f>J593+K593</f>
        <v>462526</v>
      </c>
      <c r="M593" s="75"/>
      <c r="N593" s="76">
        <f>L593+M593</f>
        <v>462526</v>
      </c>
      <c r="O593" s="75"/>
      <c r="P593" s="76">
        <f>N593+O593</f>
        <v>462526</v>
      </c>
      <c r="Q593" s="50"/>
      <c r="R593" s="76">
        <f>P593+Q593</f>
        <v>462526</v>
      </c>
      <c r="S593" s="50"/>
      <c r="T593" s="76">
        <f>R593+S593</f>
        <v>462526</v>
      </c>
    </row>
    <row r="594" spans="1:20" ht="30.75" customHeight="1">
      <c r="A594" s="12" t="s">
        <v>466</v>
      </c>
      <c r="B594" s="83" t="s">
        <v>379</v>
      </c>
      <c r="C594" s="83" t="s">
        <v>431</v>
      </c>
      <c r="D594" s="83" t="s">
        <v>196</v>
      </c>
      <c r="E594" s="83" t="s">
        <v>478</v>
      </c>
      <c r="F594" s="79">
        <v>0</v>
      </c>
      <c r="G594" s="80">
        <v>4800</v>
      </c>
      <c r="H594" s="79">
        <v>5000</v>
      </c>
      <c r="I594" s="75"/>
      <c r="J594" s="76">
        <f>H594+I594</f>
        <v>5000</v>
      </c>
      <c r="K594" s="75">
        <v>474</v>
      </c>
      <c r="L594" s="76">
        <f>J594+K594</f>
        <v>5474</v>
      </c>
      <c r="M594" s="75"/>
      <c r="N594" s="76">
        <f>L594+M594</f>
        <v>5474</v>
      </c>
      <c r="O594" s="75"/>
      <c r="P594" s="76">
        <f>N594+O594</f>
        <v>5474</v>
      </c>
      <c r="Q594" s="50"/>
      <c r="R594" s="76">
        <f>P594+Q594</f>
        <v>5474</v>
      </c>
      <c r="S594" s="50"/>
      <c r="T594" s="76">
        <f>R594+S594</f>
        <v>5474</v>
      </c>
    </row>
    <row r="595" spans="1:20" ht="30.75" customHeight="1">
      <c r="A595" s="12" t="s">
        <v>491</v>
      </c>
      <c r="B595" s="83" t="s">
        <v>379</v>
      </c>
      <c r="C595" s="83" t="s">
        <v>431</v>
      </c>
      <c r="D595" s="83" t="s">
        <v>196</v>
      </c>
      <c r="E595" s="83" t="s">
        <v>463</v>
      </c>
      <c r="F595" s="79">
        <v>0</v>
      </c>
      <c r="G595" s="80">
        <v>894</v>
      </c>
      <c r="H595" s="79">
        <v>474</v>
      </c>
      <c r="I595" s="75"/>
      <c r="J595" s="76">
        <f>H595+I595</f>
        <v>474</v>
      </c>
      <c r="K595" s="75">
        <v>-474</v>
      </c>
      <c r="L595" s="76">
        <f>J595+K595</f>
        <v>0</v>
      </c>
      <c r="M595" s="75"/>
      <c r="N595" s="76">
        <f>L595+M595</f>
        <v>0</v>
      </c>
      <c r="O595" s="75"/>
      <c r="P595" s="76">
        <f>N595+O595</f>
        <v>0</v>
      </c>
      <c r="Q595" s="50"/>
      <c r="R595" s="76">
        <f>P595+Q595</f>
        <v>0</v>
      </c>
      <c r="S595" s="50"/>
      <c r="T595" s="76">
        <f>R595+S595</f>
        <v>0</v>
      </c>
    </row>
    <row r="596" spans="1:20" ht="33" customHeight="1" hidden="1">
      <c r="A596" s="27" t="s">
        <v>390</v>
      </c>
      <c r="B596" s="83" t="s">
        <v>379</v>
      </c>
      <c r="C596" s="83" t="s">
        <v>431</v>
      </c>
      <c r="D596" s="83" t="s">
        <v>381</v>
      </c>
      <c r="E596" s="83"/>
      <c r="F596" s="57">
        <f>F597+F599+F601+F604</f>
        <v>0</v>
      </c>
      <c r="G596" s="83"/>
      <c r="H596" s="57"/>
      <c r="I596" s="75"/>
      <c r="J596" s="75"/>
      <c r="K596" s="75"/>
      <c r="L596" s="75"/>
      <c r="M596" s="75"/>
      <c r="N596" s="75"/>
      <c r="O596" s="75"/>
      <c r="P596" s="75"/>
      <c r="Q596" s="50"/>
      <c r="R596" s="75"/>
      <c r="S596" s="50"/>
      <c r="T596" s="75"/>
    </row>
    <row r="597" spans="1:20" ht="34.5" customHeight="1" hidden="1">
      <c r="A597" s="27" t="s">
        <v>454</v>
      </c>
      <c r="B597" s="83" t="s">
        <v>379</v>
      </c>
      <c r="C597" s="83" t="s">
        <v>431</v>
      </c>
      <c r="D597" s="83" t="s">
        <v>449</v>
      </c>
      <c r="E597" s="83"/>
      <c r="F597" s="57">
        <f>F598</f>
        <v>0</v>
      </c>
      <c r="G597" s="83"/>
      <c r="H597" s="57">
        <f>H598</f>
        <v>0</v>
      </c>
      <c r="I597" s="75"/>
      <c r="J597" s="75"/>
      <c r="K597" s="75"/>
      <c r="L597" s="75"/>
      <c r="M597" s="75"/>
      <c r="N597" s="75"/>
      <c r="O597" s="75"/>
      <c r="P597" s="75"/>
      <c r="Q597" s="50"/>
      <c r="R597" s="75"/>
      <c r="S597" s="50"/>
      <c r="T597" s="75"/>
    </row>
    <row r="598" spans="1:20" ht="16.5" customHeight="1" hidden="1">
      <c r="A598" s="12" t="s">
        <v>472</v>
      </c>
      <c r="B598" s="83" t="s">
        <v>379</v>
      </c>
      <c r="C598" s="83" t="s">
        <v>431</v>
      </c>
      <c r="D598" s="83" t="s">
        <v>449</v>
      </c>
      <c r="E598" s="83" t="s">
        <v>471</v>
      </c>
      <c r="F598" s="95">
        <v>0</v>
      </c>
      <c r="G598" s="83" t="s">
        <v>521</v>
      </c>
      <c r="H598" s="95"/>
      <c r="I598" s="75"/>
      <c r="J598" s="75"/>
      <c r="K598" s="75"/>
      <c r="L598" s="75"/>
      <c r="M598" s="75"/>
      <c r="N598" s="75"/>
      <c r="O598" s="75"/>
      <c r="P598" s="75"/>
      <c r="Q598" s="50"/>
      <c r="R598" s="75"/>
      <c r="S598" s="50"/>
      <c r="T598" s="75"/>
    </row>
    <row r="599" spans="1:20" ht="113.25" customHeight="1" hidden="1">
      <c r="A599" s="41" t="s">
        <v>517</v>
      </c>
      <c r="B599" s="83" t="s">
        <v>379</v>
      </c>
      <c r="C599" s="83" t="s">
        <v>431</v>
      </c>
      <c r="D599" s="83" t="s">
        <v>530</v>
      </c>
      <c r="E599" s="83"/>
      <c r="F599" s="57">
        <f>F600</f>
        <v>0</v>
      </c>
      <c r="G599" s="83"/>
      <c r="H599" s="57">
        <f>H600</f>
        <v>0</v>
      </c>
      <c r="I599" s="75"/>
      <c r="J599" s="75"/>
      <c r="K599" s="75"/>
      <c r="L599" s="75"/>
      <c r="M599" s="75"/>
      <c r="N599" s="75"/>
      <c r="O599" s="75"/>
      <c r="P599" s="75"/>
      <c r="Q599" s="50"/>
      <c r="R599" s="75"/>
      <c r="S599" s="50"/>
      <c r="T599" s="75"/>
    </row>
    <row r="600" spans="1:20" ht="15.75" hidden="1">
      <c r="A600" s="12" t="s">
        <v>472</v>
      </c>
      <c r="B600" s="83" t="s">
        <v>379</v>
      </c>
      <c r="C600" s="83" t="s">
        <v>431</v>
      </c>
      <c r="D600" s="83" t="s">
        <v>530</v>
      </c>
      <c r="E600" s="83" t="s">
        <v>471</v>
      </c>
      <c r="F600" s="95">
        <v>0</v>
      </c>
      <c r="G600" s="83" t="s">
        <v>522</v>
      </c>
      <c r="H600" s="95"/>
      <c r="I600" s="75"/>
      <c r="J600" s="75"/>
      <c r="K600" s="75"/>
      <c r="L600" s="75"/>
      <c r="M600" s="75"/>
      <c r="N600" s="75"/>
      <c r="O600" s="75"/>
      <c r="P600" s="75"/>
      <c r="Q600" s="50"/>
      <c r="R600" s="75"/>
      <c r="S600" s="50"/>
      <c r="T600" s="75"/>
    </row>
    <row r="601" spans="1:20" ht="61.5" customHeight="1" hidden="1">
      <c r="A601" s="27" t="s">
        <v>455</v>
      </c>
      <c r="B601" s="83" t="s">
        <v>379</v>
      </c>
      <c r="C601" s="83" t="s">
        <v>431</v>
      </c>
      <c r="D601" s="83" t="s">
        <v>456</v>
      </c>
      <c r="E601" s="83"/>
      <c r="F601" s="57">
        <f>F602+F603</f>
        <v>0</v>
      </c>
      <c r="G601" s="83"/>
      <c r="H601" s="57">
        <f>H602+H603</f>
        <v>0</v>
      </c>
      <c r="I601" s="75"/>
      <c r="J601" s="75"/>
      <c r="K601" s="75"/>
      <c r="L601" s="75"/>
      <c r="M601" s="75"/>
      <c r="N601" s="75"/>
      <c r="O601" s="75"/>
      <c r="P601" s="75"/>
      <c r="Q601" s="50"/>
      <c r="R601" s="75"/>
      <c r="S601" s="50"/>
      <c r="T601" s="75"/>
    </row>
    <row r="602" spans="1:20" ht="50.25" customHeight="1" hidden="1">
      <c r="A602" s="12" t="s">
        <v>492</v>
      </c>
      <c r="B602" s="83" t="s">
        <v>379</v>
      </c>
      <c r="C602" s="83" t="s">
        <v>431</v>
      </c>
      <c r="D602" s="83" t="s">
        <v>456</v>
      </c>
      <c r="E602" s="83" t="s">
        <v>470</v>
      </c>
      <c r="F602" s="95">
        <v>0</v>
      </c>
      <c r="G602" s="83" t="s">
        <v>502</v>
      </c>
      <c r="H602" s="95"/>
      <c r="I602" s="75"/>
      <c r="J602" s="75"/>
      <c r="K602" s="75"/>
      <c r="L602" s="75"/>
      <c r="M602" s="75"/>
      <c r="N602" s="75"/>
      <c r="O602" s="75"/>
      <c r="P602" s="75"/>
      <c r="Q602" s="50"/>
      <c r="R602" s="75"/>
      <c r="S602" s="50"/>
      <c r="T602" s="75"/>
    </row>
    <row r="603" spans="1:20" ht="18" customHeight="1" hidden="1">
      <c r="A603" s="12" t="s">
        <v>472</v>
      </c>
      <c r="B603" s="83" t="s">
        <v>379</v>
      </c>
      <c r="C603" s="83" t="s">
        <v>431</v>
      </c>
      <c r="D603" s="83" t="s">
        <v>456</v>
      </c>
      <c r="E603" s="83" t="s">
        <v>471</v>
      </c>
      <c r="F603" s="95">
        <v>0</v>
      </c>
      <c r="G603" s="83" t="s">
        <v>520</v>
      </c>
      <c r="H603" s="95"/>
      <c r="I603" s="75"/>
      <c r="J603" s="75"/>
      <c r="K603" s="75"/>
      <c r="L603" s="75"/>
      <c r="M603" s="75"/>
      <c r="N603" s="75"/>
      <c r="O603" s="75"/>
      <c r="P603" s="75"/>
      <c r="Q603" s="50"/>
      <c r="R603" s="75"/>
      <c r="S603" s="50"/>
      <c r="T603" s="75"/>
    </row>
    <row r="604" spans="1:20" ht="0.75" customHeight="1" hidden="1">
      <c r="A604" s="27" t="s">
        <v>457</v>
      </c>
      <c r="B604" s="83" t="s">
        <v>379</v>
      </c>
      <c r="C604" s="83" t="s">
        <v>431</v>
      </c>
      <c r="D604" s="83" t="s">
        <v>458</v>
      </c>
      <c r="E604" s="83"/>
      <c r="F604" s="57">
        <f>F605</f>
        <v>0</v>
      </c>
      <c r="G604" s="83"/>
      <c r="H604" s="57">
        <f>H605</f>
        <v>0</v>
      </c>
      <c r="I604" s="75"/>
      <c r="J604" s="75"/>
      <c r="K604" s="75"/>
      <c r="L604" s="75"/>
      <c r="M604" s="75"/>
      <c r="N604" s="75"/>
      <c r="O604" s="75"/>
      <c r="P604" s="75"/>
      <c r="Q604" s="50"/>
      <c r="R604" s="75"/>
      <c r="S604" s="50"/>
      <c r="T604" s="75"/>
    </row>
    <row r="605" spans="1:20" ht="18.75" customHeight="1" hidden="1">
      <c r="A605" s="12" t="s">
        <v>472</v>
      </c>
      <c r="B605" s="83" t="s">
        <v>379</v>
      </c>
      <c r="C605" s="83" t="s">
        <v>431</v>
      </c>
      <c r="D605" s="83" t="s">
        <v>458</v>
      </c>
      <c r="E605" s="83" t="s">
        <v>471</v>
      </c>
      <c r="F605" s="95">
        <v>0</v>
      </c>
      <c r="G605" s="83"/>
      <c r="H605" s="95">
        <f>F605+G605</f>
        <v>0</v>
      </c>
      <c r="I605" s="75"/>
      <c r="J605" s="75"/>
      <c r="K605" s="75"/>
      <c r="L605" s="75"/>
      <c r="M605" s="75"/>
      <c r="N605" s="75"/>
      <c r="O605" s="75"/>
      <c r="P605" s="75"/>
      <c r="Q605" s="50"/>
      <c r="R605" s="75"/>
      <c r="S605" s="50"/>
      <c r="T605" s="75"/>
    </row>
    <row r="606" spans="1:20" ht="31.5">
      <c r="A606" s="11" t="s">
        <v>441</v>
      </c>
      <c r="B606" s="72" t="s">
        <v>421</v>
      </c>
      <c r="C606" s="73"/>
      <c r="D606" s="73"/>
      <c r="E606" s="73"/>
      <c r="F606" s="74" t="e">
        <f>F607+F624</f>
        <v>#REF!</v>
      </c>
      <c r="G606" s="73"/>
      <c r="H606" s="74">
        <f>H607+H624</f>
        <v>2919000</v>
      </c>
      <c r="I606" s="75"/>
      <c r="J606" s="74">
        <f>J607+J624</f>
        <v>2919000</v>
      </c>
      <c r="K606" s="75"/>
      <c r="L606" s="74">
        <f>L607+L624</f>
        <v>2919000</v>
      </c>
      <c r="M606" s="75"/>
      <c r="N606" s="74">
        <f>N607+N624</f>
        <v>2919000</v>
      </c>
      <c r="O606" s="75"/>
      <c r="P606" s="74">
        <f>P607+P624</f>
        <v>2919000</v>
      </c>
      <c r="Q606" s="50"/>
      <c r="R606" s="74">
        <f>R607+R624</f>
        <v>2919000</v>
      </c>
      <c r="S606" s="50"/>
      <c r="T606" s="74">
        <f>T607+T624</f>
        <v>2919000</v>
      </c>
    </row>
    <row r="607" spans="1:20" ht="15.75">
      <c r="A607" s="12" t="s">
        <v>400</v>
      </c>
      <c r="B607" s="73" t="s">
        <v>421</v>
      </c>
      <c r="C607" s="73" t="s">
        <v>343</v>
      </c>
      <c r="D607" s="73" t="s">
        <v>119</v>
      </c>
      <c r="E607" s="72"/>
      <c r="F607" s="79">
        <f>F608</f>
        <v>0</v>
      </c>
      <c r="G607" s="80"/>
      <c r="H607" s="79">
        <f>H608+H613</f>
        <v>2366000</v>
      </c>
      <c r="I607" s="75"/>
      <c r="J607" s="79">
        <f>J608+J613</f>
        <v>2366000</v>
      </c>
      <c r="K607" s="75"/>
      <c r="L607" s="79">
        <f>L608+L613</f>
        <v>2366000</v>
      </c>
      <c r="M607" s="75"/>
      <c r="N607" s="79">
        <f>N608+N613</f>
        <v>2366000</v>
      </c>
      <c r="O607" s="75"/>
      <c r="P607" s="79">
        <f>P608+P613</f>
        <v>2366000</v>
      </c>
      <c r="Q607" s="50"/>
      <c r="R607" s="79">
        <f>R608+R613</f>
        <v>2366000</v>
      </c>
      <c r="S607" s="50"/>
      <c r="T607" s="79">
        <f>T608+T613</f>
        <v>2366000</v>
      </c>
    </row>
    <row r="608" spans="1:20" ht="52.5" customHeight="1">
      <c r="A608" s="17" t="s">
        <v>382</v>
      </c>
      <c r="B608" s="73" t="s">
        <v>421</v>
      </c>
      <c r="C608" s="73" t="s">
        <v>344</v>
      </c>
      <c r="D608" s="73" t="s">
        <v>202</v>
      </c>
      <c r="E608" s="73"/>
      <c r="F608" s="79">
        <f>F609</f>
        <v>0</v>
      </c>
      <c r="G608" s="80"/>
      <c r="H608" s="79">
        <f>H609</f>
        <v>1219356</v>
      </c>
      <c r="I608" s="75"/>
      <c r="J608" s="79">
        <f>J609</f>
        <v>1219356</v>
      </c>
      <c r="K608" s="75"/>
      <c r="L608" s="79">
        <f>L609</f>
        <v>1219356</v>
      </c>
      <c r="M608" s="75"/>
      <c r="N608" s="79">
        <f>N609</f>
        <v>1219356</v>
      </c>
      <c r="O608" s="75"/>
      <c r="P608" s="79">
        <f>P609</f>
        <v>1219356</v>
      </c>
      <c r="Q608" s="50"/>
      <c r="R608" s="79">
        <f>R609</f>
        <v>1219356</v>
      </c>
      <c r="S608" s="50"/>
      <c r="T608" s="79">
        <f>T609</f>
        <v>1263274</v>
      </c>
    </row>
    <row r="609" spans="1:20" ht="67.5" customHeight="1">
      <c r="A609" s="17" t="s">
        <v>383</v>
      </c>
      <c r="B609" s="73" t="s">
        <v>421</v>
      </c>
      <c r="C609" s="73" t="s">
        <v>344</v>
      </c>
      <c r="D609" s="73" t="s">
        <v>202</v>
      </c>
      <c r="E609" s="73"/>
      <c r="F609" s="79">
        <f>F610+F611</f>
        <v>0</v>
      </c>
      <c r="G609" s="80"/>
      <c r="H609" s="79">
        <f>H610</f>
        <v>1219356</v>
      </c>
      <c r="I609" s="75"/>
      <c r="J609" s="79">
        <f>J610</f>
        <v>1219356</v>
      </c>
      <c r="K609" s="75"/>
      <c r="L609" s="79">
        <f>L610</f>
        <v>1219356</v>
      </c>
      <c r="M609" s="75"/>
      <c r="N609" s="79">
        <f>N610</f>
        <v>1219356</v>
      </c>
      <c r="O609" s="75"/>
      <c r="P609" s="79">
        <f>P610</f>
        <v>1219356</v>
      </c>
      <c r="Q609" s="50"/>
      <c r="R609" s="79">
        <f>R610</f>
        <v>1219356</v>
      </c>
      <c r="S609" s="50"/>
      <c r="T609" s="79">
        <f>T610</f>
        <v>1263274</v>
      </c>
    </row>
    <row r="610" spans="1:20" ht="18" customHeight="1">
      <c r="A610" s="17" t="s">
        <v>384</v>
      </c>
      <c r="B610" s="73" t="s">
        <v>421</v>
      </c>
      <c r="C610" s="73" t="s">
        <v>344</v>
      </c>
      <c r="D610" s="73" t="s">
        <v>202</v>
      </c>
      <c r="E610" s="73"/>
      <c r="F610" s="57">
        <v>0</v>
      </c>
      <c r="G610" s="80">
        <v>1169925</v>
      </c>
      <c r="H610" s="57">
        <f>H611+H612</f>
        <v>1219356</v>
      </c>
      <c r="I610" s="75"/>
      <c r="J610" s="57">
        <f>J611+J612</f>
        <v>1219356</v>
      </c>
      <c r="K610" s="75"/>
      <c r="L610" s="57">
        <f>L611+L612</f>
        <v>1219356</v>
      </c>
      <c r="M610" s="75"/>
      <c r="N610" s="57">
        <f>N611+N612</f>
        <v>1219356</v>
      </c>
      <c r="O610" s="75"/>
      <c r="P610" s="57">
        <f>P611+P612</f>
        <v>1219356</v>
      </c>
      <c r="Q610" s="50"/>
      <c r="R610" s="57">
        <f>R611+R612</f>
        <v>1219356</v>
      </c>
      <c r="S610" s="50"/>
      <c r="T610" s="57">
        <f>T611+T612</f>
        <v>1263274</v>
      </c>
    </row>
    <row r="611" spans="1:20" ht="15.75">
      <c r="A611" s="12" t="s">
        <v>465</v>
      </c>
      <c r="B611" s="73" t="s">
        <v>421</v>
      </c>
      <c r="C611" s="73" t="s">
        <v>344</v>
      </c>
      <c r="D611" s="73" t="s">
        <v>202</v>
      </c>
      <c r="E611" s="73" t="s">
        <v>475</v>
      </c>
      <c r="F611" s="57">
        <v>0</v>
      </c>
      <c r="G611" s="80">
        <v>1169925</v>
      </c>
      <c r="H611" s="57">
        <v>1178356</v>
      </c>
      <c r="I611" s="75"/>
      <c r="J611" s="76">
        <f>H611+I611</f>
        <v>1178356</v>
      </c>
      <c r="K611" s="75"/>
      <c r="L611" s="76">
        <f>J611+K611</f>
        <v>1178356</v>
      </c>
      <c r="M611" s="75"/>
      <c r="N611" s="76">
        <f>L611+M611</f>
        <v>1178356</v>
      </c>
      <c r="O611" s="75"/>
      <c r="P611" s="76">
        <f>N611+O611</f>
        <v>1178356</v>
      </c>
      <c r="Q611" s="50"/>
      <c r="R611" s="76">
        <f>P611+Q611</f>
        <v>1178356</v>
      </c>
      <c r="S611" s="50">
        <f>33731+10187</f>
        <v>43918</v>
      </c>
      <c r="T611" s="76">
        <f>R611+S611</f>
        <v>1222274</v>
      </c>
    </row>
    <row r="612" spans="1:20" ht="31.5">
      <c r="A612" s="12" t="s">
        <v>466</v>
      </c>
      <c r="B612" s="73" t="s">
        <v>421</v>
      </c>
      <c r="C612" s="73" t="s">
        <v>344</v>
      </c>
      <c r="D612" s="73" t="s">
        <v>202</v>
      </c>
      <c r="E612" s="73" t="s">
        <v>478</v>
      </c>
      <c r="F612" s="57">
        <v>0</v>
      </c>
      <c r="G612" s="80">
        <v>41100</v>
      </c>
      <c r="H612" s="57">
        <v>41000</v>
      </c>
      <c r="I612" s="75"/>
      <c r="J612" s="76">
        <f>H612+I612</f>
        <v>41000</v>
      </c>
      <c r="K612" s="75"/>
      <c r="L612" s="76">
        <f>J612+K612</f>
        <v>41000</v>
      </c>
      <c r="M612" s="75"/>
      <c r="N612" s="76">
        <f>L612+M612</f>
        <v>41000</v>
      </c>
      <c r="O612" s="75"/>
      <c r="P612" s="76">
        <f>N612+O612</f>
        <v>41000</v>
      </c>
      <c r="Q612" s="50"/>
      <c r="R612" s="76">
        <f>P612+Q612</f>
        <v>41000</v>
      </c>
      <c r="S612" s="50"/>
      <c r="T612" s="76">
        <f>R612+S612</f>
        <v>41000</v>
      </c>
    </row>
    <row r="613" spans="1:20" ht="65.25" customHeight="1">
      <c r="A613" s="12" t="s">
        <v>385</v>
      </c>
      <c r="B613" s="73" t="s">
        <v>421</v>
      </c>
      <c r="C613" s="73" t="s">
        <v>345</v>
      </c>
      <c r="D613" s="73" t="s">
        <v>119</v>
      </c>
      <c r="E613" s="72"/>
      <c r="F613" s="79" t="e">
        <f>F614+#REF!</f>
        <v>#REF!</v>
      </c>
      <c r="G613" s="80">
        <v>0</v>
      </c>
      <c r="H613" s="79">
        <f>H614</f>
        <v>1146644</v>
      </c>
      <c r="I613" s="75"/>
      <c r="J613" s="79">
        <f>J614+J621</f>
        <v>1146644</v>
      </c>
      <c r="K613" s="75"/>
      <c r="L613" s="79">
        <f>L614+L621</f>
        <v>1146644</v>
      </c>
      <c r="M613" s="75"/>
      <c r="N613" s="79">
        <f>N614+N621</f>
        <v>1146644</v>
      </c>
      <c r="O613" s="75"/>
      <c r="P613" s="79">
        <f>P614+P621</f>
        <v>1146644</v>
      </c>
      <c r="Q613" s="50"/>
      <c r="R613" s="79">
        <f>R614+R621</f>
        <v>1146644</v>
      </c>
      <c r="S613" s="50"/>
      <c r="T613" s="79">
        <f>T614+T621</f>
        <v>1102726</v>
      </c>
    </row>
    <row r="614" spans="1:20" ht="33.75" customHeight="1">
      <c r="A614" s="12" t="s">
        <v>383</v>
      </c>
      <c r="B614" s="73" t="s">
        <v>421</v>
      </c>
      <c r="C614" s="73" t="s">
        <v>345</v>
      </c>
      <c r="D614" s="73" t="s">
        <v>535</v>
      </c>
      <c r="E614" s="73"/>
      <c r="F614" s="79" t="e">
        <f>F615</f>
        <v>#REF!</v>
      </c>
      <c r="G614" s="80"/>
      <c r="H614" s="79">
        <f>H615</f>
        <v>1146644</v>
      </c>
      <c r="I614" s="75"/>
      <c r="J614" s="79">
        <f>J615</f>
        <v>1022664</v>
      </c>
      <c r="K614" s="75"/>
      <c r="L614" s="79">
        <f>L615</f>
        <v>1022864</v>
      </c>
      <c r="M614" s="75"/>
      <c r="N614" s="79">
        <f>N615</f>
        <v>1032864</v>
      </c>
      <c r="O614" s="75"/>
      <c r="P614" s="79">
        <f>P615</f>
        <v>1032864</v>
      </c>
      <c r="Q614" s="50"/>
      <c r="R614" s="79">
        <f>R615</f>
        <v>1032864</v>
      </c>
      <c r="S614" s="50"/>
      <c r="T614" s="79">
        <f>T615</f>
        <v>999546</v>
      </c>
    </row>
    <row r="615" spans="1:20" ht="15.75">
      <c r="A615" s="12" t="s">
        <v>401</v>
      </c>
      <c r="B615" s="73" t="s">
        <v>421</v>
      </c>
      <c r="C615" s="73" t="s">
        <v>345</v>
      </c>
      <c r="D615" s="73" t="s">
        <v>535</v>
      </c>
      <c r="E615" s="73"/>
      <c r="F615" s="79" t="e">
        <f>F617+F618+F619+F620+F616+#REF!</f>
        <v>#REF!</v>
      </c>
      <c r="G615" s="80">
        <v>0</v>
      </c>
      <c r="H615" s="79">
        <f>H617+H618+H619+H620+H616</f>
        <v>1146644</v>
      </c>
      <c r="I615" s="101"/>
      <c r="J615" s="79">
        <f>J617+J618+J619+J620+J616</f>
        <v>1022664</v>
      </c>
      <c r="K615" s="75"/>
      <c r="L615" s="79">
        <f>L617+L618+L619+L620+L616</f>
        <v>1022864</v>
      </c>
      <c r="M615" s="75"/>
      <c r="N615" s="79">
        <f>N617+N618+N619+N620+N616</f>
        <v>1032864</v>
      </c>
      <c r="O615" s="75"/>
      <c r="P615" s="79">
        <f>P617+P618+P619+P620+P616</f>
        <v>1032864</v>
      </c>
      <c r="Q615" s="50"/>
      <c r="R615" s="79">
        <f>R617+R618+R619+R620+R616</f>
        <v>1032864</v>
      </c>
      <c r="S615" s="50"/>
      <c r="T615" s="79">
        <f>T617+T618+T619+T620+T616</f>
        <v>999546</v>
      </c>
    </row>
    <row r="616" spans="1:20" ht="15.75">
      <c r="A616" s="12" t="s">
        <v>465</v>
      </c>
      <c r="B616" s="73" t="s">
        <v>421</v>
      </c>
      <c r="C616" s="73" t="s">
        <v>345</v>
      </c>
      <c r="D616" s="73" t="s">
        <v>535</v>
      </c>
      <c r="E616" s="73" t="s">
        <v>460</v>
      </c>
      <c r="F616" s="57">
        <v>0</v>
      </c>
      <c r="G616" s="80">
        <v>141879</v>
      </c>
      <c r="H616" s="57">
        <v>147480</v>
      </c>
      <c r="I616" s="101">
        <v>-147480</v>
      </c>
      <c r="J616" s="76">
        <f>H616+I616</f>
        <v>0</v>
      </c>
      <c r="K616" s="75"/>
      <c r="L616" s="76">
        <f>J616+K616</f>
        <v>0</v>
      </c>
      <c r="M616" s="75"/>
      <c r="N616" s="76">
        <f>L616+M616</f>
        <v>0</v>
      </c>
      <c r="O616" s="75"/>
      <c r="P616" s="76">
        <f>N616+O616</f>
        <v>0</v>
      </c>
      <c r="Q616" s="50"/>
      <c r="R616" s="76">
        <f>P616+Q616</f>
        <v>0</v>
      </c>
      <c r="S616" s="50"/>
      <c r="T616" s="76">
        <f>R616+S616</f>
        <v>0</v>
      </c>
    </row>
    <row r="617" spans="1:20" ht="15.75">
      <c r="A617" s="12" t="s">
        <v>465</v>
      </c>
      <c r="B617" s="73" t="s">
        <v>421</v>
      </c>
      <c r="C617" s="73" t="s">
        <v>345</v>
      </c>
      <c r="D617" s="73" t="s">
        <v>535</v>
      </c>
      <c r="E617" s="73" t="s">
        <v>475</v>
      </c>
      <c r="F617" s="57">
        <v>0</v>
      </c>
      <c r="G617" s="80">
        <v>1329958</v>
      </c>
      <c r="H617" s="57">
        <v>974442</v>
      </c>
      <c r="I617" s="101"/>
      <c r="J617" s="76">
        <f>H617+I617</f>
        <v>974442</v>
      </c>
      <c r="K617" s="75">
        <v>-9000</v>
      </c>
      <c r="L617" s="76">
        <f>J617+K617</f>
        <v>965442</v>
      </c>
      <c r="M617" s="75"/>
      <c r="N617" s="76">
        <f>L617+M617</f>
        <v>965442</v>
      </c>
      <c r="O617" s="75"/>
      <c r="P617" s="76">
        <f>N617+O617</f>
        <v>965442</v>
      </c>
      <c r="Q617" s="50"/>
      <c r="R617" s="76">
        <f>P617+Q617</f>
        <v>965442</v>
      </c>
      <c r="S617" s="50">
        <f>-33731-10187</f>
        <v>-43918</v>
      </c>
      <c r="T617" s="76">
        <f>R617+S617</f>
        <v>921524</v>
      </c>
    </row>
    <row r="618" spans="1:20" ht="31.5">
      <c r="A618" s="12" t="s">
        <v>466</v>
      </c>
      <c r="B618" s="73" t="s">
        <v>421</v>
      </c>
      <c r="C618" s="73" t="s">
        <v>345</v>
      </c>
      <c r="D618" s="73" t="s">
        <v>535</v>
      </c>
      <c r="E618" s="73" t="s">
        <v>478</v>
      </c>
      <c r="F618" s="57">
        <v>0</v>
      </c>
      <c r="G618" s="80">
        <v>10000</v>
      </c>
      <c r="H618" s="57">
        <v>8000</v>
      </c>
      <c r="I618" s="101">
        <v>-1000</v>
      </c>
      <c r="J618" s="76">
        <f>H618+I618</f>
        <v>7000</v>
      </c>
      <c r="K618" s="75"/>
      <c r="L618" s="76">
        <f>J618+K618</f>
        <v>7000</v>
      </c>
      <c r="M618" s="75">
        <v>5000</v>
      </c>
      <c r="N618" s="76">
        <f>L618+M618</f>
        <v>12000</v>
      </c>
      <c r="O618" s="75"/>
      <c r="P618" s="76">
        <f>N618+O618</f>
        <v>12000</v>
      </c>
      <c r="Q618" s="50"/>
      <c r="R618" s="76">
        <f>P618+Q618</f>
        <v>12000</v>
      </c>
      <c r="S618" s="50">
        <f>4800</f>
        <v>4800</v>
      </c>
      <c r="T618" s="76">
        <f>R618+S618</f>
        <v>16800</v>
      </c>
    </row>
    <row r="619" spans="1:20" ht="47.25">
      <c r="A619" s="12" t="s">
        <v>467</v>
      </c>
      <c r="B619" s="73" t="s">
        <v>421</v>
      </c>
      <c r="C619" s="73" t="s">
        <v>345</v>
      </c>
      <c r="D619" s="73" t="s">
        <v>535</v>
      </c>
      <c r="E619" s="73" t="s">
        <v>462</v>
      </c>
      <c r="F619" s="79">
        <v>0</v>
      </c>
      <c r="G619" s="80">
        <v>69823</v>
      </c>
      <c r="H619" s="79">
        <v>6722</v>
      </c>
      <c r="I619" s="101"/>
      <c r="J619" s="76">
        <f>H619+I619</f>
        <v>6722</v>
      </c>
      <c r="K619" s="75"/>
      <c r="L619" s="76">
        <f>J619+K619</f>
        <v>6722</v>
      </c>
      <c r="M619" s="75"/>
      <c r="N619" s="76">
        <f>L619+M619</f>
        <v>6722</v>
      </c>
      <c r="O619" s="75"/>
      <c r="P619" s="76">
        <f>N619+O619</f>
        <v>6722</v>
      </c>
      <c r="Q619" s="50"/>
      <c r="R619" s="76">
        <f>P619+Q619</f>
        <v>6722</v>
      </c>
      <c r="S619" s="50"/>
      <c r="T619" s="76">
        <f>R619+S619</f>
        <v>6722</v>
      </c>
    </row>
    <row r="620" spans="1:20" ht="36" customHeight="1">
      <c r="A620" s="12" t="s">
        <v>491</v>
      </c>
      <c r="B620" s="73" t="s">
        <v>421</v>
      </c>
      <c r="C620" s="73" t="s">
        <v>345</v>
      </c>
      <c r="D620" s="73" t="s">
        <v>535</v>
      </c>
      <c r="E620" s="73" t="s">
        <v>463</v>
      </c>
      <c r="F620" s="79">
        <v>0</v>
      </c>
      <c r="G620" s="80">
        <v>67000</v>
      </c>
      <c r="H620" s="79">
        <v>10000</v>
      </c>
      <c r="I620" s="101">
        <v>24500</v>
      </c>
      <c r="J620" s="76">
        <f>H620+I620</f>
        <v>34500</v>
      </c>
      <c r="K620" s="75">
        <v>9200</v>
      </c>
      <c r="L620" s="76">
        <f>J620+K620</f>
        <v>43700</v>
      </c>
      <c r="M620" s="75">
        <v>5000</v>
      </c>
      <c r="N620" s="76">
        <f>L620+M620</f>
        <v>48700</v>
      </c>
      <c r="O620" s="75"/>
      <c r="P620" s="76">
        <f>N620+O620</f>
        <v>48700</v>
      </c>
      <c r="Q620" s="50"/>
      <c r="R620" s="76">
        <f>P620+Q620</f>
        <v>48700</v>
      </c>
      <c r="S620" s="50">
        <f>5800</f>
        <v>5800</v>
      </c>
      <c r="T620" s="76">
        <f>R620+S620</f>
        <v>54500</v>
      </c>
    </row>
    <row r="621" spans="1:20" ht="78" customHeight="1">
      <c r="A621" s="12" t="s">
        <v>257</v>
      </c>
      <c r="B621" s="73" t="s">
        <v>421</v>
      </c>
      <c r="C621" s="73" t="s">
        <v>345</v>
      </c>
      <c r="D621" s="73" t="s">
        <v>249</v>
      </c>
      <c r="E621" s="73"/>
      <c r="F621" s="95"/>
      <c r="G621" s="73"/>
      <c r="H621" s="95"/>
      <c r="I621" s="101"/>
      <c r="J621" s="76">
        <f>J622+J623</f>
        <v>123980</v>
      </c>
      <c r="K621" s="75"/>
      <c r="L621" s="76">
        <f>L622+L623</f>
        <v>123780</v>
      </c>
      <c r="M621" s="75"/>
      <c r="N621" s="76">
        <f>N622+N623</f>
        <v>113780</v>
      </c>
      <c r="O621" s="75"/>
      <c r="P621" s="76">
        <f>P622+P623</f>
        <v>113780</v>
      </c>
      <c r="Q621" s="50"/>
      <c r="R621" s="76">
        <f>R622+R623</f>
        <v>113780</v>
      </c>
      <c r="S621" s="50"/>
      <c r="T621" s="76">
        <f>T622+T623</f>
        <v>103180</v>
      </c>
    </row>
    <row r="622" spans="1:20" ht="15.75">
      <c r="A622" s="12" t="s">
        <v>465</v>
      </c>
      <c r="B622" s="73" t="s">
        <v>421</v>
      </c>
      <c r="C622" s="73" t="s">
        <v>345</v>
      </c>
      <c r="D622" s="73" t="s">
        <v>249</v>
      </c>
      <c r="E622" s="73" t="s">
        <v>475</v>
      </c>
      <c r="F622" s="95"/>
      <c r="G622" s="73"/>
      <c r="H622" s="95"/>
      <c r="I622" s="101">
        <f>147480-24500</f>
        <v>122980</v>
      </c>
      <c r="J622" s="76">
        <f>H622+I622</f>
        <v>122980</v>
      </c>
      <c r="K622" s="75">
        <v>-200</v>
      </c>
      <c r="L622" s="76">
        <f>J622+K622</f>
        <v>122780</v>
      </c>
      <c r="M622" s="75">
        <v>-10000</v>
      </c>
      <c r="N622" s="76">
        <f>L622+M622</f>
        <v>112780</v>
      </c>
      <c r="O622" s="75"/>
      <c r="P622" s="76">
        <f>N622+O622</f>
        <v>112780</v>
      </c>
      <c r="Q622" s="50"/>
      <c r="R622" s="76">
        <f>P622+Q622</f>
        <v>112780</v>
      </c>
      <c r="S622" s="50">
        <f>-7600-3000</f>
        <v>-10600</v>
      </c>
      <c r="T622" s="76">
        <f>R622+S622</f>
        <v>102180</v>
      </c>
    </row>
    <row r="623" spans="1:20" ht="31.5">
      <c r="A623" s="12" t="s">
        <v>466</v>
      </c>
      <c r="B623" s="73" t="s">
        <v>421</v>
      </c>
      <c r="C623" s="73" t="s">
        <v>345</v>
      </c>
      <c r="D623" s="73" t="s">
        <v>249</v>
      </c>
      <c r="E623" s="73" t="s">
        <v>478</v>
      </c>
      <c r="F623" s="95"/>
      <c r="G623" s="73"/>
      <c r="H623" s="95"/>
      <c r="I623" s="101">
        <v>1000</v>
      </c>
      <c r="J623" s="76">
        <f>H623+I623</f>
        <v>1000</v>
      </c>
      <c r="K623" s="75"/>
      <c r="L623" s="76">
        <f>J623+K623</f>
        <v>1000</v>
      </c>
      <c r="M623" s="75"/>
      <c r="N623" s="76">
        <f>L623+M623</f>
        <v>1000</v>
      </c>
      <c r="O623" s="75"/>
      <c r="P623" s="76">
        <f>N623+O623</f>
        <v>1000</v>
      </c>
      <c r="Q623" s="50"/>
      <c r="R623" s="76">
        <f>P623+Q623</f>
        <v>1000</v>
      </c>
      <c r="S623" s="50"/>
      <c r="T623" s="76">
        <f>R623+S623</f>
        <v>1000</v>
      </c>
    </row>
    <row r="624" spans="1:20" ht="19.5" customHeight="1">
      <c r="A624" s="20" t="s">
        <v>415</v>
      </c>
      <c r="B624" s="83" t="s">
        <v>421</v>
      </c>
      <c r="C624" s="83" t="s">
        <v>380</v>
      </c>
      <c r="D624" s="83" t="s">
        <v>119</v>
      </c>
      <c r="E624" s="83"/>
      <c r="F624" s="95" t="e">
        <f>F625</f>
        <v>#REF!</v>
      </c>
      <c r="G624" s="83"/>
      <c r="H624" s="95">
        <f>H625</f>
        <v>553000</v>
      </c>
      <c r="I624" s="101"/>
      <c r="J624" s="95">
        <f>J625</f>
        <v>553000</v>
      </c>
      <c r="K624" s="75"/>
      <c r="L624" s="95">
        <f>L625</f>
        <v>553000</v>
      </c>
      <c r="M624" s="75"/>
      <c r="N624" s="95">
        <f>N625</f>
        <v>553000</v>
      </c>
      <c r="O624" s="75"/>
      <c r="P624" s="95">
        <f>P625</f>
        <v>553000</v>
      </c>
      <c r="Q624" s="50"/>
      <c r="R624" s="95">
        <f>R625</f>
        <v>553000</v>
      </c>
      <c r="S624" s="50"/>
      <c r="T624" s="95">
        <f>T625</f>
        <v>553000</v>
      </c>
    </row>
    <row r="625" spans="1:20" ht="18" customHeight="1">
      <c r="A625" s="20" t="s">
        <v>416</v>
      </c>
      <c r="B625" s="83" t="s">
        <v>421</v>
      </c>
      <c r="C625" s="83" t="s">
        <v>397</v>
      </c>
      <c r="D625" s="83" t="s">
        <v>168</v>
      </c>
      <c r="E625" s="83"/>
      <c r="F625" s="95" t="e">
        <f>#REF!</f>
        <v>#REF!</v>
      </c>
      <c r="G625" s="83"/>
      <c r="H625" s="95">
        <f>H626</f>
        <v>553000</v>
      </c>
      <c r="I625" s="101"/>
      <c r="J625" s="95">
        <f>J626</f>
        <v>553000</v>
      </c>
      <c r="K625" s="75"/>
      <c r="L625" s="95">
        <f>L626</f>
        <v>553000</v>
      </c>
      <c r="M625" s="75"/>
      <c r="N625" s="95">
        <f>N626</f>
        <v>553000</v>
      </c>
      <c r="O625" s="75"/>
      <c r="P625" s="95">
        <f>P626</f>
        <v>553000</v>
      </c>
      <c r="Q625" s="50"/>
      <c r="R625" s="95">
        <f>R626</f>
        <v>553000</v>
      </c>
      <c r="S625" s="50"/>
      <c r="T625" s="95">
        <f>T626</f>
        <v>553000</v>
      </c>
    </row>
    <row r="626" spans="1:20" ht="51.75" customHeight="1">
      <c r="A626" s="20" t="s">
        <v>398</v>
      </c>
      <c r="B626" s="83" t="s">
        <v>421</v>
      </c>
      <c r="C626" s="83" t="s">
        <v>397</v>
      </c>
      <c r="D626" s="83" t="s">
        <v>101</v>
      </c>
      <c r="E626" s="83"/>
      <c r="F626" s="95">
        <f>F627</f>
        <v>0</v>
      </c>
      <c r="G626" s="83"/>
      <c r="H626" s="95">
        <f>H627</f>
        <v>553000</v>
      </c>
      <c r="I626" s="75"/>
      <c r="J626" s="95">
        <f>J627</f>
        <v>553000</v>
      </c>
      <c r="K626" s="75"/>
      <c r="L626" s="95">
        <f>L627</f>
        <v>553000</v>
      </c>
      <c r="M626" s="75"/>
      <c r="N626" s="95">
        <f>N627</f>
        <v>553000</v>
      </c>
      <c r="O626" s="75"/>
      <c r="P626" s="95">
        <f>P627</f>
        <v>553000</v>
      </c>
      <c r="Q626" s="50"/>
      <c r="R626" s="95">
        <f>R627</f>
        <v>553000</v>
      </c>
      <c r="S626" s="50"/>
      <c r="T626" s="95">
        <f>T627</f>
        <v>553000</v>
      </c>
    </row>
    <row r="627" spans="1:20" ht="33" customHeight="1">
      <c r="A627" s="27" t="s">
        <v>150</v>
      </c>
      <c r="B627" s="83" t="s">
        <v>421</v>
      </c>
      <c r="C627" s="83" t="s">
        <v>397</v>
      </c>
      <c r="D627" s="83" t="s">
        <v>101</v>
      </c>
      <c r="E627" s="83" t="s">
        <v>477</v>
      </c>
      <c r="F627" s="95">
        <v>0</v>
      </c>
      <c r="G627" s="83" t="s">
        <v>510</v>
      </c>
      <c r="H627" s="95">
        <v>553000</v>
      </c>
      <c r="I627" s="75"/>
      <c r="J627" s="76">
        <f>H627+I627</f>
        <v>553000</v>
      </c>
      <c r="K627" s="75"/>
      <c r="L627" s="76">
        <f>J627+K627</f>
        <v>553000</v>
      </c>
      <c r="M627" s="75"/>
      <c r="N627" s="76">
        <f>L627+M627</f>
        <v>553000</v>
      </c>
      <c r="O627" s="75"/>
      <c r="P627" s="76">
        <f>N627+O627</f>
        <v>553000</v>
      </c>
      <c r="Q627" s="50"/>
      <c r="R627" s="76">
        <f>P627+Q627</f>
        <v>553000</v>
      </c>
      <c r="S627" s="50"/>
      <c r="T627" s="76">
        <f>R627+S627</f>
        <v>553000</v>
      </c>
    </row>
    <row r="628" spans="1:20" ht="47.25">
      <c r="A628" s="11" t="s">
        <v>440</v>
      </c>
      <c r="B628" s="72" t="s">
        <v>424</v>
      </c>
      <c r="C628" s="72"/>
      <c r="D628" s="73"/>
      <c r="E628" s="73"/>
      <c r="F628" s="74" t="e">
        <f>F629</f>
        <v>#REF!</v>
      </c>
      <c r="G628" s="73"/>
      <c r="H628" s="74">
        <f>H629</f>
        <v>1318600</v>
      </c>
      <c r="I628" s="75"/>
      <c r="J628" s="74">
        <f>J629</f>
        <v>1318600</v>
      </c>
      <c r="K628" s="76"/>
      <c r="L628" s="74">
        <f>L629</f>
        <v>1318600</v>
      </c>
      <c r="M628" s="75"/>
      <c r="N628" s="74">
        <f>N629</f>
        <v>1318600</v>
      </c>
      <c r="O628" s="75"/>
      <c r="P628" s="74">
        <f>P629</f>
        <v>1427300</v>
      </c>
      <c r="Q628" s="50"/>
      <c r="R628" s="74">
        <f>R629</f>
        <v>1427300</v>
      </c>
      <c r="S628" s="50"/>
      <c r="T628" s="74">
        <f>T629</f>
        <v>1427300</v>
      </c>
    </row>
    <row r="629" spans="1:20" ht="70.5" customHeight="1">
      <c r="A629" s="12" t="s">
        <v>386</v>
      </c>
      <c r="B629" s="73" t="s">
        <v>424</v>
      </c>
      <c r="C629" s="73" t="s">
        <v>347</v>
      </c>
      <c r="D629" s="73" t="s">
        <v>119</v>
      </c>
      <c r="E629" s="73"/>
      <c r="F629" s="57" t="e">
        <f>F630+#REF!</f>
        <v>#REF!</v>
      </c>
      <c r="G629" s="73"/>
      <c r="H629" s="57">
        <f>H630+H636</f>
        <v>1318600</v>
      </c>
      <c r="I629" s="75"/>
      <c r="J629" s="57">
        <f>J630+J636</f>
        <v>1318600</v>
      </c>
      <c r="K629" s="75"/>
      <c r="L629" s="57">
        <f>L630+L636</f>
        <v>1318600</v>
      </c>
      <c r="M629" s="75"/>
      <c r="N629" s="57">
        <f>N630+N636</f>
        <v>1318600</v>
      </c>
      <c r="O629" s="75"/>
      <c r="P629" s="57">
        <f>P630+P636</f>
        <v>1427300</v>
      </c>
      <c r="Q629" s="50"/>
      <c r="R629" s="57">
        <f>R630+R636</f>
        <v>1427300</v>
      </c>
      <c r="S629" s="50"/>
      <c r="T629" s="57">
        <f>T630+T636</f>
        <v>1427300</v>
      </c>
    </row>
    <row r="630" spans="1:20" ht="32.25" customHeight="1">
      <c r="A630" s="12" t="s">
        <v>383</v>
      </c>
      <c r="B630" s="73" t="s">
        <v>424</v>
      </c>
      <c r="C630" s="73" t="s">
        <v>347</v>
      </c>
      <c r="D630" s="73" t="s">
        <v>535</v>
      </c>
      <c r="E630" s="73"/>
      <c r="F630" s="95">
        <f>F631+F636</f>
        <v>0</v>
      </c>
      <c r="G630" s="73"/>
      <c r="H630" s="95">
        <f>H631</f>
        <v>752079</v>
      </c>
      <c r="I630" s="75"/>
      <c r="J630" s="95">
        <f>J631</f>
        <v>752079</v>
      </c>
      <c r="K630" s="75"/>
      <c r="L630" s="95">
        <f>L631</f>
        <v>752079</v>
      </c>
      <c r="M630" s="75"/>
      <c r="N630" s="95">
        <f>N631</f>
        <v>752079</v>
      </c>
      <c r="O630" s="75"/>
      <c r="P630" s="95">
        <f>P631</f>
        <v>843379</v>
      </c>
      <c r="Q630" s="50"/>
      <c r="R630" s="95">
        <f>R631</f>
        <v>843379</v>
      </c>
      <c r="S630" s="50"/>
      <c r="T630" s="95">
        <f>T631</f>
        <v>843379</v>
      </c>
    </row>
    <row r="631" spans="1:20" ht="20.25" customHeight="1">
      <c r="A631" s="12" t="s">
        <v>401</v>
      </c>
      <c r="B631" s="73" t="s">
        <v>424</v>
      </c>
      <c r="C631" s="73" t="s">
        <v>347</v>
      </c>
      <c r="D631" s="73" t="s">
        <v>535</v>
      </c>
      <c r="E631" s="73"/>
      <c r="F631" s="95">
        <f>F632+F633+F634+F635</f>
        <v>0</v>
      </c>
      <c r="G631" s="73"/>
      <c r="H631" s="95">
        <f>H632+H633+H634+H635</f>
        <v>752079</v>
      </c>
      <c r="I631" s="75"/>
      <c r="J631" s="95">
        <f>J632+J633+J634+J635</f>
        <v>752079</v>
      </c>
      <c r="K631" s="75"/>
      <c r="L631" s="95">
        <f>L632+L633+L634+L635</f>
        <v>752079</v>
      </c>
      <c r="M631" s="75"/>
      <c r="N631" s="95">
        <f>N632+N633+N634+N635</f>
        <v>752079</v>
      </c>
      <c r="O631" s="75"/>
      <c r="P631" s="95">
        <f>P632+P633+P634+P635</f>
        <v>843379</v>
      </c>
      <c r="Q631" s="50"/>
      <c r="R631" s="95">
        <f>R632+R633+R634+R635</f>
        <v>843379</v>
      </c>
      <c r="S631" s="50"/>
      <c r="T631" s="95">
        <f>T632+T633+T634+T635</f>
        <v>843379</v>
      </c>
    </row>
    <row r="632" spans="1:20" ht="15.75">
      <c r="A632" s="12" t="s">
        <v>465</v>
      </c>
      <c r="B632" s="73" t="s">
        <v>424</v>
      </c>
      <c r="C632" s="73" t="s">
        <v>347</v>
      </c>
      <c r="D632" s="73" t="s">
        <v>535</v>
      </c>
      <c r="E632" s="73" t="s">
        <v>475</v>
      </c>
      <c r="F632" s="95">
        <v>0</v>
      </c>
      <c r="G632" s="73" t="s">
        <v>511</v>
      </c>
      <c r="H632" s="95">
        <v>712139</v>
      </c>
      <c r="I632" s="75">
        <v>-9247</v>
      </c>
      <c r="J632" s="76">
        <f aca="true" t="shared" si="16" ref="J632:N638">H632+I632</f>
        <v>702892</v>
      </c>
      <c r="K632" s="75"/>
      <c r="L632" s="76">
        <f t="shared" si="16"/>
        <v>702892</v>
      </c>
      <c r="M632" s="75"/>
      <c r="N632" s="76">
        <f t="shared" si="16"/>
        <v>702892</v>
      </c>
      <c r="O632" s="75">
        <v>91300</v>
      </c>
      <c r="P632" s="76">
        <f>N632+O632</f>
        <v>794192</v>
      </c>
      <c r="Q632" s="50"/>
      <c r="R632" s="76">
        <f>P632+Q632</f>
        <v>794192</v>
      </c>
      <c r="S632" s="50"/>
      <c r="T632" s="76">
        <f>R632+S632</f>
        <v>794192</v>
      </c>
    </row>
    <row r="633" spans="1:20" ht="31.5">
      <c r="A633" s="12" t="s">
        <v>466</v>
      </c>
      <c r="B633" s="73" t="s">
        <v>424</v>
      </c>
      <c r="C633" s="73" t="s">
        <v>347</v>
      </c>
      <c r="D633" s="73" t="s">
        <v>535</v>
      </c>
      <c r="E633" s="73" t="s">
        <v>478</v>
      </c>
      <c r="F633" s="95">
        <v>0</v>
      </c>
      <c r="G633" s="73" t="s">
        <v>512</v>
      </c>
      <c r="H633" s="95">
        <v>2290</v>
      </c>
      <c r="I633" s="75"/>
      <c r="J633" s="76">
        <f t="shared" si="16"/>
        <v>2290</v>
      </c>
      <c r="K633" s="75"/>
      <c r="L633" s="76">
        <f t="shared" si="16"/>
        <v>2290</v>
      </c>
      <c r="M633" s="75"/>
      <c r="N633" s="76">
        <f t="shared" si="16"/>
        <v>2290</v>
      </c>
      <c r="O633" s="75"/>
      <c r="P633" s="76">
        <f>N633+O633</f>
        <v>2290</v>
      </c>
      <c r="Q633" s="50"/>
      <c r="R633" s="76">
        <f>P633+Q633</f>
        <v>2290</v>
      </c>
      <c r="S633" s="50"/>
      <c r="T633" s="76">
        <f>R633+S633</f>
        <v>2290</v>
      </c>
    </row>
    <row r="634" spans="1:20" ht="47.25">
      <c r="A634" s="12" t="s">
        <v>467</v>
      </c>
      <c r="B634" s="73" t="s">
        <v>424</v>
      </c>
      <c r="C634" s="73" t="s">
        <v>347</v>
      </c>
      <c r="D634" s="73" t="s">
        <v>535</v>
      </c>
      <c r="E634" s="73" t="s">
        <v>462</v>
      </c>
      <c r="F634" s="95">
        <v>0</v>
      </c>
      <c r="G634" s="73" t="s">
        <v>513</v>
      </c>
      <c r="H634" s="95">
        <v>11000</v>
      </c>
      <c r="I634" s="75">
        <v>5847</v>
      </c>
      <c r="J634" s="76">
        <f t="shared" si="16"/>
        <v>16847</v>
      </c>
      <c r="K634" s="75"/>
      <c r="L634" s="76">
        <f t="shared" si="16"/>
        <v>16847</v>
      </c>
      <c r="M634" s="75"/>
      <c r="N634" s="76">
        <f t="shared" si="16"/>
        <v>16847</v>
      </c>
      <c r="O634" s="75"/>
      <c r="P634" s="76">
        <f>N634+O634</f>
        <v>16847</v>
      </c>
      <c r="Q634" s="50"/>
      <c r="R634" s="76">
        <f>P634+Q634</f>
        <v>16847</v>
      </c>
      <c r="S634" s="50"/>
      <c r="T634" s="76">
        <f>R634+S634</f>
        <v>16847</v>
      </c>
    </row>
    <row r="635" spans="1:20" ht="31.5">
      <c r="A635" s="12" t="s">
        <v>491</v>
      </c>
      <c r="B635" s="73" t="s">
        <v>424</v>
      </c>
      <c r="C635" s="73" t="s">
        <v>347</v>
      </c>
      <c r="D635" s="73" t="s">
        <v>535</v>
      </c>
      <c r="E635" s="73" t="s">
        <v>463</v>
      </c>
      <c r="F635" s="95">
        <v>0</v>
      </c>
      <c r="G635" s="73" t="s">
        <v>514</v>
      </c>
      <c r="H635" s="95">
        <v>26650</v>
      </c>
      <c r="I635" s="75">
        <v>3400</v>
      </c>
      <c r="J635" s="76">
        <f t="shared" si="16"/>
        <v>30050</v>
      </c>
      <c r="K635" s="75"/>
      <c r="L635" s="76">
        <f t="shared" si="16"/>
        <v>30050</v>
      </c>
      <c r="M635" s="75"/>
      <c r="N635" s="76">
        <f t="shared" si="16"/>
        <v>30050</v>
      </c>
      <c r="O635" s="75"/>
      <c r="P635" s="76">
        <f>N635+O635</f>
        <v>30050</v>
      </c>
      <c r="Q635" s="50"/>
      <c r="R635" s="76">
        <f>P635+Q635</f>
        <v>30050</v>
      </c>
      <c r="S635" s="50"/>
      <c r="T635" s="76">
        <f>R635+S635</f>
        <v>30050</v>
      </c>
    </row>
    <row r="636" spans="1:20" ht="47.25">
      <c r="A636" s="12" t="s">
        <v>387</v>
      </c>
      <c r="B636" s="73" t="s">
        <v>424</v>
      </c>
      <c r="C636" s="73" t="s">
        <v>347</v>
      </c>
      <c r="D636" s="73" t="s">
        <v>536</v>
      </c>
      <c r="E636" s="73"/>
      <c r="F636" s="95">
        <f>F637+F638</f>
        <v>0</v>
      </c>
      <c r="G636" s="73"/>
      <c r="H636" s="95">
        <f>H637+H638</f>
        <v>566521</v>
      </c>
      <c r="I636" s="75"/>
      <c r="J636" s="95">
        <f>J637+J638</f>
        <v>566521</v>
      </c>
      <c r="K636" s="75"/>
      <c r="L636" s="95">
        <f>L637+L638</f>
        <v>566521</v>
      </c>
      <c r="M636" s="75"/>
      <c r="N636" s="95">
        <f>N637+N638</f>
        <v>566521</v>
      </c>
      <c r="O636" s="75"/>
      <c r="P636" s="95">
        <f>P637+P638</f>
        <v>583921</v>
      </c>
      <c r="Q636" s="50"/>
      <c r="R636" s="95">
        <f>R637+R638</f>
        <v>583921</v>
      </c>
      <c r="S636" s="50"/>
      <c r="T636" s="95">
        <f>T637+T638</f>
        <v>583921</v>
      </c>
    </row>
    <row r="637" spans="1:20" ht="15.75">
      <c r="A637" s="12" t="s">
        <v>465</v>
      </c>
      <c r="B637" s="103" t="s">
        <v>424</v>
      </c>
      <c r="C637" s="103" t="s">
        <v>347</v>
      </c>
      <c r="D637" s="73" t="s">
        <v>536</v>
      </c>
      <c r="E637" s="103" t="s">
        <v>475</v>
      </c>
      <c r="F637" s="95">
        <v>0</v>
      </c>
      <c r="G637" s="103" t="s">
        <v>515</v>
      </c>
      <c r="H637" s="95">
        <v>563321</v>
      </c>
      <c r="I637" s="75"/>
      <c r="J637" s="76">
        <f t="shared" si="16"/>
        <v>563321</v>
      </c>
      <c r="K637" s="75"/>
      <c r="L637" s="76">
        <f t="shared" si="16"/>
        <v>563321</v>
      </c>
      <c r="M637" s="75"/>
      <c r="N637" s="76">
        <f t="shared" si="16"/>
        <v>563321</v>
      </c>
      <c r="O637" s="75">
        <v>17400</v>
      </c>
      <c r="P637" s="76">
        <f>N637+O637</f>
        <v>580721</v>
      </c>
      <c r="Q637" s="50"/>
      <c r="R637" s="76">
        <f>P637+Q637</f>
        <v>580721</v>
      </c>
      <c r="S637" s="50"/>
      <c r="T637" s="76">
        <f>R637+S637</f>
        <v>580721</v>
      </c>
    </row>
    <row r="638" spans="1:20" ht="33.75" customHeight="1">
      <c r="A638" s="12" t="s">
        <v>466</v>
      </c>
      <c r="B638" s="103" t="s">
        <v>424</v>
      </c>
      <c r="C638" s="103" t="s">
        <v>347</v>
      </c>
      <c r="D638" s="73" t="s">
        <v>536</v>
      </c>
      <c r="E638" s="103" t="s">
        <v>478</v>
      </c>
      <c r="F638" s="95">
        <v>0</v>
      </c>
      <c r="G638" s="103" t="s">
        <v>516</v>
      </c>
      <c r="H638" s="95">
        <f>F638+G638</f>
        <v>3200</v>
      </c>
      <c r="I638" s="75"/>
      <c r="J638" s="76">
        <f t="shared" si="16"/>
        <v>3200</v>
      </c>
      <c r="K638" s="75"/>
      <c r="L638" s="76">
        <f t="shared" si="16"/>
        <v>3200</v>
      </c>
      <c r="M638" s="75"/>
      <c r="N638" s="76">
        <f t="shared" si="16"/>
        <v>3200</v>
      </c>
      <c r="O638" s="75"/>
      <c r="P638" s="76">
        <f>N638+O638</f>
        <v>3200</v>
      </c>
      <c r="Q638" s="50"/>
      <c r="R638" s="76">
        <f>P638+Q638</f>
        <v>3200</v>
      </c>
      <c r="S638" s="50"/>
      <c r="T638" s="76">
        <f>R638+S638</f>
        <v>3200</v>
      </c>
    </row>
    <row r="639" spans="1:20" ht="47.25">
      <c r="A639" s="42" t="s">
        <v>439</v>
      </c>
      <c r="B639" s="104" t="s">
        <v>438</v>
      </c>
      <c r="C639" s="103"/>
      <c r="D639" s="103"/>
      <c r="E639" s="103"/>
      <c r="F639" s="105" t="e">
        <f>F640+F653+F658</f>
        <v>#REF!</v>
      </c>
      <c r="G639" s="103"/>
      <c r="H639" s="105">
        <f>H640+H653+H658</f>
        <v>38617400</v>
      </c>
      <c r="I639" s="75"/>
      <c r="J639" s="105">
        <f>J640+J653+J658</f>
        <v>54759928.4</v>
      </c>
      <c r="K639" s="75"/>
      <c r="L639" s="105">
        <f>L640+L653+L658</f>
        <v>54759928.4</v>
      </c>
      <c r="M639" s="75"/>
      <c r="N639" s="105">
        <f>N640+N653+N658</f>
        <v>54759928.4</v>
      </c>
      <c r="O639" s="75"/>
      <c r="P639" s="105">
        <f>P640+P653+P658</f>
        <v>54540295.4</v>
      </c>
      <c r="Q639" s="50"/>
      <c r="R639" s="105">
        <f>R640+R653+R658</f>
        <v>101465356.4</v>
      </c>
      <c r="S639" s="50"/>
      <c r="T639" s="105">
        <f>T640+T653+T658</f>
        <v>101465356.4</v>
      </c>
    </row>
    <row r="640" spans="1:20" ht="62.25" customHeight="1">
      <c r="A640" s="15" t="s">
        <v>207</v>
      </c>
      <c r="B640" s="73" t="s">
        <v>438</v>
      </c>
      <c r="C640" s="73" t="s">
        <v>347</v>
      </c>
      <c r="D640" s="73" t="s">
        <v>208</v>
      </c>
      <c r="E640" s="73"/>
      <c r="F640" s="95" t="e">
        <f>F641+#REF!</f>
        <v>#REF!</v>
      </c>
      <c r="G640" s="73"/>
      <c r="H640" s="95">
        <f>H641</f>
        <v>6522000</v>
      </c>
      <c r="I640" s="75"/>
      <c r="J640" s="95">
        <f>J641</f>
        <v>6522000</v>
      </c>
      <c r="K640" s="75"/>
      <c r="L640" s="95">
        <f>L641</f>
        <v>6522000</v>
      </c>
      <c r="M640" s="75"/>
      <c r="N640" s="95">
        <f>N641</f>
        <v>6522000</v>
      </c>
      <c r="O640" s="75"/>
      <c r="P640" s="95">
        <f>P641</f>
        <v>6302367</v>
      </c>
      <c r="Q640" s="50"/>
      <c r="R640" s="95">
        <f>R641</f>
        <v>6302167</v>
      </c>
      <c r="S640" s="50"/>
      <c r="T640" s="95">
        <f>T641</f>
        <v>6302167</v>
      </c>
    </row>
    <row r="641" spans="1:20" ht="63">
      <c r="A641" s="14" t="s">
        <v>204</v>
      </c>
      <c r="B641" s="73" t="s">
        <v>438</v>
      </c>
      <c r="C641" s="73" t="s">
        <v>347</v>
      </c>
      <c r="D641" s="73" t="s">
        <v>237</v>
      </c>
      <c r="E641" s="73"/>
      <c r="F641" s="95">
        <f>F642</f>
        <v>0</v>
      </c>
      <c r="G641" s="73"/>
      <c r="H641" s="95">
        <f>H642</f>
        <v>6522000</v>
      </c>
      <c r="I641" s="75"/>
      <c r="J641" s="95">
        <f>J642+J650</f>
        <v>6522000</v>
      </c>
      <c r="K641" s="75"/>
      <c r="L641" s="95">
        <f>L642+L650</f>
        <v>6522000</v>
      </c>
      <c r="M641" s="75"/>
      <c r="N641" s="95">
        <f>N642+N650</f>
        <v>6522000</v>
      </c>
      <c r="O641" s="75"/>
      <c r="P641" s="95">
        <f>P642+P650</f>
        <v>6302367</v>
      </c>
      <c r="Q641" s="50"/>
      <c r="R641" s="95">
        <f>R642+R650</f>
        <v>6302167</v>
      </c>
      <c r="S641" s="50"/>
      <c r="T641" s="95">
        <f>T642+T650</f>
        <v>6302167</v>
      </c>
    </row>
    <row r="642" spans="1:20" ht="15.75">
      <c r="A642" s="12" t="s">
        <v>401</v>
      </c>
      <c r="B642" s="73" t="s">
        <v>438</v>
      </c>
      <c r="C642" s="73" t="s">
        <v>347</v>
      </c>
      <c r="D642" s="73" t="s">
        <v>203</v>
      </c>
      <c r="E642" s="73"/>
      <c r="F642" s="95">
        <f>F643+F645+F647+F648+F649+F646+F644</f>
        <v>0</v>
      </c>
      <c r="G642" s="73"/>
      <c r="H642" s="95">
        <f>H643+H645+H647+H648+H649+H646+H644</f>
        <v>6522000</v>
      </c>
      <c r="I642" s="75"/>
      <c r="J642" s="95">
        <f>J643+J645+J647+J648+J649+J646+J644</f>
        <v>5938566</v>
      </c>
      <c r="K642" s="75"/>
      <c r="L642" s="95">
        <f>L643+L645+L647+L648+L649+L646+L644</f>
        <v>5938566</v>
      </c>
      <c r="M642" s="75"/>
      <c r="N642" s="95">
        <f>N643+N645+N647+N648+N649+N646+N644</f>
        <v>5938566</v>
      </c>
      <c r="O642" s="75"/>
      <c r="P642" s="95">
        <f>P643+P645+P647+P648+P649+P646+P644</f>
        <v>5885982</v>
      </c>
      <c r="Q642" s="50"/>
      <c r="R642" s="95">
        <f>R643+R645+R647+R648+R649+R646+R644</f>
        <v>5885982</v>
      </c>
      <c r="S642" s="50"/>
      <c r="T642" s="95">
        <f>T643+T645+T647+T648+T649+T646+T644</f>
        <v>5885982</v>
      </c>
    </row>
    <row r="643" spans="1:20" ht="15.75">
      <c r="A643" s="12" t="s">
        <v>465</v>
      </c>
      <c r="B643" s="73" t="s">
        <v>438</v>
      </c>
      <c r="C643" s="73" t="s">
        <v>347</v>
      </c>
      <c r="D643" s="73" t="s">
        <v>203</v>
      </c>
      <c r="E643" s="73" t="s">
        <v>460</v>
      </c>
      <c r="F643" s="57">
        <v>0</v>
      </c>
      <c r="G643" s="80">
        <f>550815</f>
        <v>550815</v>
      </c>
      <c r="H643" s="57">
        <v>573234</v>
      </c>
      <c r="I643" s="101">
        <v>-573234</v>
      </c>
      <c r="J643" s="76">
        <f aca="true" t="shared" si="17" ref="J643:N649">H643+I643</f>
        <v>0</v>
      </c>
      <c r="K643" s="75"/>
      <c r="L643" s="76">
        <f t="shared" si="17"/>
        <v>0</v>
      </c>
      <c r="M643" s="75"/>
      <c r="N643" s="76">
        <f t="shared" si="17"/>
        <v>0</v>
      </c>
      <c r="O643" s="75"/>
      <c r="P643" s="76">
        <f aca="true" t="shared" si="18" ref="P643:P649">N643+O643</f>
        <v>0</v>
      </c>
      <c r="Q643" s="50"/>
      <c r="R643" s="76">
        <f aca="true" t="shared" si="19" ref="R643:T649">P643+Q643</f>
        <v>0</v>
      </c>
      <c r="S643" s="50"/>
      <c r="T643" s="76">
        <f t="shared" si="19"/>
        <v>0</v>
      </c>
    </row>
    <row r="644" spans="1:20" ht="30" customHeight="1">
      <c r="A644" s="12" t="s">
        <v>466</v>
      </c>
      <c r="B644" s="73" t="s">
        <v>438</v>
      </c>
      <c r="C644" s="73" t="s">
        <v>347</v>
      </c>
      <c r="D644" s="73" t="s">
        <v>203</v>
      </c>
      <c r="E644" s="73" t="s">
        <v>461</v>
      </c>
      <c r="F644" s="57">
        <v>0</v>
      </c>
      <c r="G644" s="80">
        <v>17200</v>
      </c>
      <c r="H644" s="57">
        <v>10200</v>
      </c>
      <c r="I644" s="101">
        <v>-10200</v>
      </c>
      <c r="J644" s="76">
        <f t="shared" si="17"/>
        <v>0</v>
      </c>
      <c r="K644" s="75"/>
      <c r="L644" s="76">
        <f t="shared" si="17"/>
        <v>0</v>
      </c>
      <c r="M644" s="75"/>
      <c r="N644" s="76">
        <f t="shared" si="17"/>
        <v>0</v>
      </c>
      <c r="O644" s="75"/>
      <c r="P644" s="76">
        <f t="shared" si="18"/>
        <v>0</v>
      </c>
      <c r="Q644" s="50"/>
      <c r="R644" s="76">
        <f t="shared" si="19"/>
        <v>0</v>
      </c>
      <c r="S644" s="50"/>
      <c r="T644" s="76">
        <f t="shared" si="19"/>
        <v>0</v>
      </c>
    </row>
    <row r="645" spans="1:20" ht="15.75">
      <c r="A645" s="12" t="s">
        <v>465</v>
      </c>
      <c r="B645" s="73" t="s">
        <v>438</v>
      </c>
      <c r="C645" s="73" t="s">
        <v>347</v>
      </c>
      <c r="D645" s="73" t="s">
        <v>203</v>
      </c>
      <c r="E645" s="73" t="s">
        <v>475</v>
      </c>
      <c r="F645" s="57">
        <v>0</v>
      </c>
      <c r="G645" s="80">
        <f>5079385+654122</f>
        <v>5733507</v>
      </c>
      <c r="H645" s="57">
        <v>5053440</v>
      </c>
      <c r="I645" s="101"/>
      <c r="J645" s="76">
        <f t="shared" si="17"/>
        <v>5053440</v>
      </c>
      <c r="K645" s="75"/>
      <c r="L645" s="76">
        <f t="shared" si="17"/>
        <v>5053440</v>
      </c>
      <c r="M645" s="75"/>
      <c r="N645" s="76">
        <f t="shared" si="17"/>
        <v>5053440</v>
      </c>
      <c r="O645" s="75"/>
      <c r="P645" s="76">
        <f t="shared" si="18"/>
        <v>5053440</v>
      </c>
      <c r="Q645" s="50"/>
      <c r="R645" s="76">
        <f t="shared" si="19"/>
        <v>5053440</v>
      </c>
      <c r="S645" s="50"/>
      <c r="T645" s="76">
        <f t="shared" si="19"/>
        <v>5053440</v>
      </c>
    </row>
    <row r="646" spans="1:20" ht="36" customHeight="1">
      <c r="A646" s="12" t="s">
        <v>466</v>
      </c>
      <c r="B646" s="73" t="s">
        <v>438</v>
      </c>
      <c r="C646" s="73" t="s">
        <v>347</v>
      </c>
      <c r="D646" s="73" t="s">
        <v>203</v>
      </c>
      <c r="E646" s="73" t="s">
        <v>478</v>
      </c>
      <c r="F646" s="57">
        <v>0</v>
      </c>
      <c r="G646" s="80">
        <f>9600+1945</f>
        <v>11545</v>
      </c>
      <c r="H646" s="57">
        <v>4000</v>
      </c>
      <c r="I646" s="75"/>
      <c r="J646" s="76">
        <f t="shared" si="17"/>
        <v>4000</v>
      </c>
      <c r="K646" s="75"/>
      <c r="L646" s="76">
        <f t="shared" si="17"/>
        <v>4000</v>
      </c>
      <c r="M646" s="75"/>
      <c r="N646" s="76">
        <f t="shared" si="17"/>
        <v>4000</v>
      </c>
      <c r="O646" s="75"/>
      <c r="P646" s="76">
        <f t="shared" si="18"/>
        <v>4000</v>
      </c>
      <c r="Q646" s="50"/>
      <c r="R646" s="76">
        <f t="shared" si="19"/>
        <v>4000</v>
      </c>
      <c r="S646" s="50"/>
      <c r="T646" s="76">
        <f t="shared" si="19"/>
        <v>4000</v>
      </c>
    </row>
    <row r="647" spans="1:20" ht="47.25" customHeight="1">
      <c r="A647" s="12" t="s">
        <v>467</v>
      </c>
      <c r="B647" s="73" t="s">
        <v>438</v>
      </c>
      <c r="C647" s="73" t="s">
        <v>347</v>
      </c>
      <c r="D647" s="73" t="s">
        <v>203</v>
      </c>
      <c r="E647" s="73" t="s">
        <v>462</v>
      </c>
      <c r="F647" s="57">
        <v>0</v>
      </c>
      <c r="G647" s="80">
        <f>938300+26000</f>
        <v>964300</v>
      </c>
      <c r="H647" s="57">
        <v>655033</v>
      </c>
      <c r="I647" s="75">
        <v>-1000</v>
      </c>
      <c r="J647" s="76">
        <f t="shared" si="17"/>
        <v>654033</v>
      </c>
      <c r="K647" s="75"/>
      <c r="L647" s="76">
        <f t="shared" si="17"/>
        <v>654033</v>
      </c>
      <c r="M647" s="75"/>
      <c r="N647" s="76">
        <f t="shared" si="17"/>
        <v>654033</v>
      </c>
      <c r="O647" s="75"/>
      <c r="P647" s="76">
        <f t="shared" si="18"/>
        <v>654033</v>
      </c>
      <c r="Q647" s="50"/>
      <c r="R647" s="76">
        <f t="shared" si="19"/>
        <v>654033</v>
      </c>
      <c r="S647" s="50"/>
      <c r="T647" s="76">
        <f t="shared" si="19"/>
        <v>654033</v>
      </c>
    </row>
    <row r="648" spans="1:20" ht="33.75" customHeight="1">
      <c r="A648" s="12" t="s">
        <v>491</v>
      </c>
      <c r="B648" s="73" t="s">
        <v>438</v>
      </c>
      <c r="C648" s="73" t="s">
        <v>347</v>
      </c>
      <c r="D648" s="73" t="s">
        <v>203</v>
      </c>
      <c r="E648" s="73" t="s">
        <v>463</v>
      </c>
      <c r="F648" s="57">
        <v>0</v>
      </c>
      <c r="G648" s="80">
        <f>615700+27460</f>
        <v>643160</v>
      </c>
      <c r="H648" s="57">
        <v>225493</v>
      </c>
      <c r="I648" s="75">
        <v>1000</v>
      </c>
      <c r="J648" s="76">
        <f t="shared" si="17"/>
        <v>226493</v>
      </c>
      <c r="K648" s="75"/>
      <c r="L648" s="76">
        <f t="shared" si="17"/>
        <v>226493</v>
      </c>
      <c r="M648" s="75"/>
      <c r="N648" s="76">
        <f t="shared" si="17"/>
        <v>226493</v>
      </c>
      <c r="O648" s="75">
        <f>-37584-15000</f>
        <v>-52584</v>
      </c>
      <c r="P648" s="76">
        <f t="shared" si="18"/>
        <v>173909</v>
      </c>
      <c r="Q648" s="50"/>
      <c r="R648" s="76">
        <f t="shared" si="19"/>
        <v>173909</v>
      </c>
      <c r="S648" s="50"/>
      <c r="T648" s="76">
        <f t="shared" si="19"/>
        <v>173909</v>
      </c>
    </row>
    <row r="649" spans="1:20" ht="33" customHeight="1">
      <c r="A649" s="12" t="s">
        <v>469</v>
      </c>
      <c r="B649" s="73" t="s">
        <v>438</v>
      </c>
      <c r="C649" s="73" t="s">
        <v>347</v>
      </c>
      <c r="D649" s="73" t="s">
        <v>203</v>
      </c>
      <c r="E649" s="73" t="s">
        <v>464</v>
      </c>
      <c r="F649" s="57">
        <v>0</v>
      </c>
      <c r="G649" s="80">
        <v>600</v>
      </c>
      <c r="H649" s="57">
        <f>F649+G649</f>
        <v>600</v>
      </c>
      <c r="I649" s="75"/>
      <c r="J649" s="76">
        <f t="shared" si="17"/>
        <v>600</v>
      </c>
      <c r="K649" s="75"/>
      <c r="L649" s="76">
        <f t="shared" si="17"/>
        <v>600</v>
      </c>
      <c r="M649" s="75"/>
      <c r="N649" s="76">
        <f t="shared" si="17"/>
        <v>600</v>
      </c>
      <c r="O649" s="75"/>
      <c r="P649" s="76">
        <f t="shared" si="18"/>
        <v>600</v>
      </c>
      <c r="Q649" s="50"/>
      <c r="R649" s="76">
        <f t="shared" si="19"/>
        <v>600</v>
      </c>
      <c r="S649" s="50"/>
      <c r="T649" s="76">
        <f t="shared" si="19"/>
        <v>600</v>
      </c>
    </row>
    <row r="650" spans="1:20" ht="33.75" customHeight="1">
      <c r="A650" s="14" t="s">
        <v>258</v>
      </c>
      <c r="B650" s="73" t="s">
        <v>438</v>
      </c>
      <c r="C650" s="73" t="s">
        <v>347</v>
      </c>
      <c r="D650" s="73" t="s">
        <v>259</v>
      </c>
      <c r="E650" s="73"/>
      <c r="F650" s="95"/>
      <c r="G650" s="73"/>
      <c r="H650" s="95"/>
      <c r="I650" s="75"/>
      <c r="J650" s="75">
        <f>J651+J652</f>
        <v>583434</v>
      </c>
      <c r="K650" s="75"/>
      <c r="L650" s="75">
        <f>L651+L652</f>
        <v>583434</v>
      </c>
      <c r="M650" s="75"/>
      <c r="N650" s="75">
        <f>N651+N652</f>
        <v>583434</v>
      </c>
      <c r="O650" s="75"/>
      <c r="P650" s="75">
        <f>P651+P652</f>
        <v>416385</v>
      </c>
      <c r="Q650" s="50"/>
      <c r="R650" s="75">
        <f>R651+R652</f>
        <v>416185</v>
      </c>
      <c r="S650" s="50"/>
      <c r="T650" s="75">
        <f>T651+T652</f>
        <v>416185</v>
      </c>
    </row>
    <row r="651" spans="1:20" ht="36.75" customHeight="1">
      <c r="A651" s="14" t="s">
        <v>466</v>
      </c>
      <c r="B651" s="73" t="s">
        <v>438</v>
      </c>
      <c r="C651" s="73" t="s">
        <v>347</v>
      </c>
      <c r="D651" s="73" t="s">
        <v>259</v>
      </c>
      <c r="E651" s="73" t="s">
        <v>475</v>
      </c>
      <c r="F651" s="95"/>
      <c r="G651" s="73"/>
      <c r="H651" s="95"/>
      <c r="I651" s="101">
        <v>573234</v>
      </c>
      <c r="J651" s="76">
        <f>H651+I651</f>
        <v>573234</v>
      </c>
      <c r="K651" s="75"/>
      <c r="L651" s="76">
        <f>J651+K651</f>
        <v>573234</v>
      </c>
      <c r="M651" s="75"/>
      <c r="N651" s="76">
        <f>L651+M651</f>
        <v>573234</v>
      </c>
      <c r="O651" s="75">
        <f>-46469-117180</f>
        <v>-163649</v>
      </c>
      <c r="P651" s="76">
        <f>N651+O651</f>
        <v>409585</v>
      </c>
      <c r="Q651" s="50"/>
      <c r="R651" s="76">
        <f>P651+Q651</f>
        <v>409585</v>
      </c>
      <c r="S651" s="50"/>
      <c r="T651" s="76">
        <f>R651+S651</f>
        <v>409585</v>
      </c>
    </row>
    <row r="652" spans="1:20" ht="21.75" customHeight="1">
      <c r="A652" s="14" t="s">
        <v>465</v>
      </c>
      <c r="B652" s="73" t="s">
        <v>438</v>
      </c>
      <c r="C652" s="73" t="s">
        <v>347</v>
      </c>
      <c r="D652" s="73" t="s">
        <v>259</v>
      </c>
      <c r="E652" s="73" t="s">
        <v>478</v>
      </c>
      <c r="F652" s="95"/>
      <c r="G652" s="73"/>
      <c r="H652" s="95"/>
      <c r="I652" s="101">
        <v>10200</v>
      </c>
      <c r="J652" s="76">
        <f>H652+I652</f>
        <v>10200</v>
      </c>
      <c r="K652" s="75"/>
      <c r="L652" s="76">
        <f>J652+K652</f>
        <v>10200</v>
      </c>
      <c r="M652" s="75"/>
      <c r="N652" s="76">
        <f>L652+M652</f>
        <v>10200</v>
      </c>
      <c r="O652" s="75">
        <v>-3400</v>
      </c>
      <c r="P652" s="76">
        <f>N652+O652</f>
        <v>6800</v>
      </c>
      <c r="Q652" s="50">
        <f>-200</f>
        <v>-200</v>
      </c>
      <c r="R652" s="76">
        <f>P652+Q652</f>
        <v>6600</v>
      </c>
      <c r="S652" s="50"/>
      <c r="T652" s="76">
        <f>R652+S652</f>
        <v>6600</v>
      </c>
    </row>
    <row r="653" spans="1:20" ht="48" customHeight="1">
      <c r="A653" s="15" t="s">
        <v>207</v>
      </c>
      <c r="B653" s="73" t="s">
        <v>438</v>
      </c>
      <c r="C653" s="73" t="s">
        <v>430</v>
      </c>
      <c r="D653" s="73" t="s">
        <v>208</v>
      </c>
      <c r="E653" s="73"/>
      <c r="F653" s="95" t="e">
        <f>#REF!</f>
        <v>#REF!</v>
      </c>
      <c r="G653" s="73"/>
      <c r="H653" s="95">
        <f>H654</f>
        <v>30578100</v>
      </c>
      <c r="I653" s="75"/>
      <c r="J653" s="95">
        <f>J654</f>
        <v>46720628.4</v>
      </c>
      <c r="K653" s="75"/>
      <c r="L653" s="95">
        <f>L654</f>
        <v>46720628.4</v>
      </c>
      <c r="M653" s="75"/>
      <c r="N653" s="95">
        <f>N654</f>
        <v>46720628.4</v>
      </c>
      <c r="O653" s="75"/>
      <c r="P653" s="95">
        <f>P654</f>
        <v>46720628.4</v>
      </c>
      <c r="Q653" s="50"/>
      <c r="R653" s="95">
        <f>R654</f>
        <v>93645889.4</v>
      </c>
      <c r="S653" s="50"/>
      <c r="T653" s="95">
        <f>T654</f>
        <v>93645889.4</v>
      </c>
    </row>
    <row r="654" spans="1:20" ht="31.5">
      <c r="A654" s="15" t="s">
        <v>209</v>
      </c>
      <c r="B654" s="96" t="s">
        <v>438</v>
      </c>
      <c r="C654" s="73" t="s">
        <v>430</v>
      </c>
      <c r="D654" s="73" t="s">
        <v>238</v>
      </c>
      <c r="E654" s="73"/>
      <c r="F654" s="79"/>
      <c r="G654" s="80"/>
      <c r="H654" s="79">
        <f>H655</f>
        <v>30578100</v>
      </c>
      <c r="I654" s="75"/>
      <c r="J654" s="79">
        <f>J655</f>
        <v>46720628.4</v>
      </c>
      <c r="K654" s="75"/>
      <c r="L654" s="79">
        <f>L655</f>
        <v>46720628.4</v>
      </c>
      <c r="M654" s="75"/>
      <c r="N654" s="79">
        <f>N655</f>
        <v>46720628.4</v>
      </c>
      <c r="O654" s="75"/>
      <c r="P654" s="79">
        <f>P655</f>
        <v>46720628.4</v>
      </c>
      <c r="Q654" s="50"/>
      <c r="R654" s="79">
        <f>R655+R656</f>
        <v>93645889.4</v>
      </c>
      <c r="S654" s="50"/>
      <c r="T654" s="79">
        <f>T655+T656</f>
        <v>93645889.4</v>
      </c>
    </row>
    <row r="655" spans="1:20" ht="31.5">
      <c r="A655" s="43" t="s">
        <v>437</v>
      </c>
      <c r="B655" s="96" t="s">
        <v>438</v>
      </c>
      <c r="C655" s="73" t="s">
        <v>430</v>
      </c>
      <c r="D655" s="73" t="s">
        <v>211</v>
      </c>
      <c r="E655" s="73" t="s">
        <v>481</v>
      </c>
      <c r="F655" s="79"/>
      <c r="G655" s="80"/>
      <c r="H655" s="79">
        <v>30578100</v>
      </c>
      <c r="I655" s="75">
        <v>16142528.4</v>
      </c>
      <c r="J655" s="76">
        <f>H655+I655</f>
        <v>46720628.4</v>
      </c>
      <c r="K655" s="75"/>
      <c r="L655" s="76">
        <f>J655+K655</f>
        <v>46720628.4</v>
      </c>
      <c r="M655" s="75"/>
      <c r="N655" s="76">
        <f>L655+M655</f>
        <v>46720628.4</v>
      </c>
      <c r="O655" s="75"/>
      <c r="P655" s="76">
        <f>N655+O655</f>
        <v>46720628.4</v>
      </c>
      <c r="Q655" s="50">
        <v>26539853</v>
      </c>
      <c r="R655" s="76">
        <f>P655+Q655</f>
        <v>73260481.4</v>
      </c>
      <c r="S655" s="50"/>
      <c r="T655" s="76">
        <f>R655+S655</f>
        <v>73260481.4</v>
      </c>
    </row>
    <row r="656" spans="1:20" ht="94.5">
      <c r="A656" s="48" t="s">
        <v>95</v>
      </c>
      <c r="B656" s="73" t="s">
        <v>438</v>
      </c>
      <c r="C656" s="73" t="s">
        <v>430</v>
      </c>
      <c r="D656" s="85" t="s">
        <v>79</v>
      </c>
      <c r="E656" s="73"/>
      <c r="F656" s="79"/>
      <c r="G656" s="80"/>
      <c r="H656" s="79"/>
      <c r="I656" s="114"/>
      <c r="J656" s="115"/>
      <c r="K656" s="116"/>
      <c r="L656" s="115"/>
      <c r="M656" s="116"/>
      <c r="N656" s="115"/>
      <c r="O656" s="116"/>
      <c r="P656" s="117"/>
      <c r="Q656" s="118"/>
      <c r="R656" s="76">
        <f>R657</f>
        <v>20385408</v>
      </c>
      <c r="S656" s="50"/>
      <c r="T656" s="76">
        <f>T657</f>
        <v>20385408</v>
      </c>
    </row>
    <row r="657" spans="1:20" ht="31.5">
      <c r="A657" s="14" t="s">
        <v>80</v>
      </c>
      <c r="B657" s="73" t="s">
        <v>438</v>
      </c>
      <c r="C657" s="73" t="s">
        <v>430</v>
      </c>
      <c r="D657" s="85" t="s">
        <v>79</v>
      </c>
      <c r="E657" s="73" t="s">
        <v>481</v>
      </c>
      <c r="F657" s="79"/>
      <c r="G657" s="80"/>
      <c r="H657" s="79"/>
      <c r="I657" s="114"/>
      <c r="J657" s="115"/>
      <c r="K657" s="116"/>
      <c r="L657" s="115"/>
      <c r="M657" s="116"/>
      <c r="N657" s="115"/>
      <c r="O657" s="116"/>
      <c r="P657" s="117"/>
      <c r="Q657" s="118">
        <f>20385408</f>
        <v>20385408</v>
      </c>
      <c r="R657" s="76">
        <f>Q657+P657</f>
        <v>20385408</v>
      </c>
      <c r="S657" s="50"/>
      <c r="T657" s="76">
        <f>S657+R657</f>
        <v>20385408</v>
      </c>
    </row>
    <row r="658" spans="1:20" ht="63">
      <c r="A658" s="15" t="s">
        <v>207</v>
      </c>
      <c r="B658" s="83" t="s">
        <v>438</v>
      </c>
      <c r="C658" s="83" t="s">
        <v>435</v>
      </c>
      <c r="D658" s="83" t="s">
        <v>208</v>
      </c>
      <c r="E658" s="83"/>
      <c r="F658" s="79">
        <f>F659</f>
        <v>0</v>
      </c>
      <c r="G658" s="83"/>
      <c r="H658" s="79">
        <f>H659</f>
        <v>1517300</v>
      </c>
      <c r="I658" s="75"/>
      <c r="J658" s="79">
        <f>J659</f>
        <v>1517300</v>
      </c>
      <c r="K658" s="75"/>
      <c r="L658" s="79">
        <f>L659</f>
        <v>1517300</v>
      </c>
      <c r="M658" s="75"/>
      <c r="N658" s="79">
        <f>N659</f>
        <v>1517300</v>
      </c>
      <c r="O658" s="75"/>
      <c r="P658" s="79">
        <f>P659</f>
        <v>1517300</v>
      </c>
      <c r="Q658" s="50"/>
      <c r="R658" s="79">
        <f>R659</f>
        <v>1517300</v>
      </c>
      <c r="S658" s="50"/>
      <c r="T658" s="79">
        <f>T659</f>
        <v>1517300</v>
      </c>
    </row>
    <row r="659" spans="1:20" ht="31.5">
      <c r="A659" s="15" t="s">
        <v>210</v>
      </c>
      <c r="B659" s="83" t="s">
        <v>438</v>
      </c>
      <c r="C659" s="83" t="s">
        <v>436</v>
      </c>
      <c r="D659" s="73" t="s">
        <v>239</v>
      </c>
      <c r="E659" s="73"/>
      <c r="F659" s="79"/>
      <c r="G659" s="80"/>
      <c r="H659" s="79">
        <f>H660</f>
        <v>1517300</v>
      </c>
      <c r="I659" s="75"/>
      <c r="J659" s="79">
        <f>J660</f>
        <v>1517300</v>
      </c>
      <c r="K659" s="75"/>
      <c r="L659" s="79">
        <f>L660</f>
        <v>1517300</v>
      </c>
      <c r="M659" s="75"/>
      <c r="N659" s="79">
        <f>N660</f>
        <v>1517300</v>
      </c>
      <c r="O659" s="75"/>
      <c r="P659" s="79">
        <f>P660</f>
        <v>1517300</v>
      </c>
      <c r="Q659" s="50"/>
      <c r="R659" s="79">
        <f>R660</f>
        <v>1517300</v>
      </c>
      <c r="S659" s="50"/>
      <c r="T659" s="79">
        <f>T660</f>
        <v>1517300</v>
      </c>
    </row>
    <row r="660" spans="1:20" ht="30" customHeight="1">
      <c r="A660" s="14" t="s">
        <v>450</v>
      </c>
      <c r="B660" s="83" t="s">
        <v>438</v>
      </c>
      <c r="C660" s="83" t="s">
        <v>436</v>
      </c>
      <c r="D660" s="73" t="s">
        <v>226</v>
      </c>
      <c r="E660" s="73" t="s">
        <v>483</v>
      </c>
      <c r="F660" s="79"/>
      <c r="G660" s="80"/>
      <c r="H660" s="79">
        <v>1517300</v>
      </c>
      <c r="I660" s="75"/>
      <c r="J660" s="76">
        <f>H660+I660</f>
        <v>1517300</v>
      </c>
      <c r="K660" s="75"/>
      <c r="L660" s="76">
        <f>J660+K660</f>
        <v>1517300</v>
      </c>
      <c r="M660" s="75"/>
      <c r="N660" s="76">
        <f>L660+M660</f>
        <v>1517300</v>
      </c>
      <c r="O660" s="75"/>
      <c r="P660" s="76">
        <f>N660+O660</f>
        <v>1517300</v>
      </c>
      <c r="Q660" s="50"/>
      <c r="R660" s="76">
        <f>P660+Q660</f>
        <v>1517300</v>
      </c>
      <c r="S660" s="50"/>
      <c r="T660" s="76">
        <f>R660+S660</f>
        <v>1517300</v>
      </c>
    </row>
    <row r="661" spans="1:20" ht="0.75" customHeight="1" hidden="1">
      <c r="A661" s="11"/>
      <c r="B661" s="93"/>
      <c r="C661" s="93"/>
      <c r="D661" s="93"/>
      <c r="E661" s="93"/>
      <c r="F661" s="94"/>
      <c r="G661" s="93"/>
      <c r="H661" s="94"/>
      <c r="I661" s="75"/>
      <c r="J661" s="75"/>
      <c r="K661" s="75"/>
      <c r="L661" s="75"/>
      <c r="M661" s="75"/>
      <c r="N661" s="75"/>
      <c r="O661" s="75"/>
      <c r="P661" s="75"/>
      <c r="Q661" s="50"/>
      <c r="R661" s="75"/>
      <c r="S661" s="50"/>
      <c r="T661" s="75"/>
    </row>
    <row r="662" spans="1:20" ht="15.75" customHeight="1" hidden="1">
      <c r="A662" s="12"/>
      <c r="B662" s="73"/>
      <c r="C662" s="73"/>
      <c r="D662" s="73"/>
      <c r="E662" s="73"/>
      <c r="F662" s="57"/>
      <c r="G662" s="73"/>
      <c r="H662" s="57"/>
      <c r="I662" s="75"/>
      <c r="J662" s="75"/>
      <c r="K662" s="75"/>
      <c r="L662" s="75"/>
      <c r="M662" s="75"/>
      <c r="N662" s="75"/>
      <c r="O662" s="75"/>
      <c r="P662" s="75"/>
      <c r="Q662" s="50"/>
      <c r="R662" s="75"/>
      <c r="S662" s="50"/>
      <c r="T662" s="75"/>
    </row>
    <row r="663" spans="1:20" ht="18" customHeight="1" hidden="1">
      <c r="A663" s="12"/>
      <c r="B663" s="73"/>
      <c r="C663" s="73"/>
      <c r="D663" s="73"/>
      <c r="E663" s="73"/>
      <c r="F663" s="57"/>
      <c r="G663" s="73"/>
      <c r="H663" s="57"/>
      <c r="I663" s="75"/>
      <c r="J663" s="75"/>
      <c r="K663" s="75"/>
      <c r="L663" s="75"/>
      <c r="M663" s="75"/>
      <c r="N663" s="75"/>
      <c r="O663" s="75"/>
      <c r="P663" s="75"/>
      <c r="Q663" s="50"/>
      <c r="R663" s="75"/>
      <c r="S663" s="50"/>
      <c r="T663" s="75"/>
    </row>
    <row r="664" spans="1:20" ht="15" customHeight="1" hidden="1">
      <c r="A664" s="12"/>
      <c r="B664" s="73"/>
      <c r="C664" s="73"/>
      <c r="D664" s="73"/>
      <c r="E664" s="73"/>
      <c r="F664" s="57"/>
      <c r="G664" s="73"/>
      <c r="H664" s="57"/>
      <c r="I664" s="75"/>
      <c r="J664" s="75"/>
      <c r="K664" s="75"/>
      <c r="L664" s="75"/>
      <c r="M664" s="75"/>
      <c r="N664" s="75"/>
      <c r="O664" s="75"/>
      <c r="P664" s="75"/>
      <c r="Q664" s="50"/>
      <c r="R664" s="75"/>
      <c r="S664" s="50"/>
      <c r="T664" s="75"/>
    </row>
    <row r="665" spans="1:20" ht="17.25" customHeight="1" hidden="1">
      <c r="A665" s="12"/>
      <c r="B665" s="73"/>
      <c r="C665" s="73"/>
      <c r="D665" s="73"/>
      <c r="E665" s="73"/>
      <c r="F665" s="57"/>
      <c r="G665" s="73"/>
      <c r="H665" s="57"/>
      <c r="I665" s="75"/>
      <c r="J665" s="75"/>
      <c r="K665" s="75"/>
      <c r="L665" s="75"/>
      <c r="M665" s="75"/>
      <c r="N665" s="75"/>
      <c r="O665" s="75"/>
      <c r="P665" s="75"/>
      <c r="Q665" s="50"/>
      <c r="R665" s="75"/>
      <c r="S665" s="50"/>
      <c r="T665" s="75"/>
    </row>
    <row r="666" spans="1:20" ht="21" customHeight="1" hidden="1">
      <c r="A666" s="12"/>
      <c r="B666" s="73"/>
      <c r="C666" s="73"/>
      <c r="D666" s="73"/>
      <c r="E666" s="73"/>
      <c r="F666" s="57"/>
      <c r="G666" s="73"/>
      <c r="H666" s="57"/>
      <c r="I666" s="75"/>
      <c r="J666" s="75"/>
      <c r="K666" s="75"/>
      <c r="L666" s="75"/>
      <c r="M666" s="75"/>
      <c r="N666" s="75"/>
      <c r="O666" s="75"/>
      <c r="P666" s="75"/>
      <c r="Q666" s="50"/>
      <c r="R666" s="75"/>
      <c r="S666" s="50"/>
      <c r="T666" s="75"/>
    </row>
    <row r="667" spans="1:20" ht="32.25" customHeight="1" hidden="1">
      <c r="A667" s="12"/>
      <c r="B667" s="73"/>
      <c r="C667" s="73"/>
      <c r="D667" s="73"/>
      <c r="E667" s="73"/>
      <c r="F667" s="57"/>
      <c r="G667" s="73"/>
      <c r="H667" s="57"/>
      <c r="I667" s="75"/>
      <c r="J667" s="75"/>
      <c r="K667" s="75"/>
      <c r="L667" s="75"/>
      <c r="M667" s="75"/>
      <c r="N667" s="75"/>
      <c r="O667" s="75"/>
      <c r="P667" s="75"/>
      <c r="Q667" s="50"/>
      <c r="R667" s="75"/>
      <c r="S667" s="50"/>
      <c r="T667" s="75"/>
    </row>
    <row r="668" spans="1:20" ht="18" customHeight="1">
      <c r="A668" s="11" t="s">
        <v>422</v>
      </c>
      <c r="B668" s="106"/>
      <c r="C668" s="106"/>
      <c r="D668" s="106"/>
      <c r="E668" s="106"/>
      <c r="F668" s="74" t="e">
        <f>F12+F341+F374+F547+F606+F628+F639+#REF!</f>
        <v>#REF!</v>
      </c>
      <c r="G668" s="106"/>
      <c r="H668" s="74">
        <f>H12+H341+H374+H547+H606+H628+H639</f>
        <v>928082500</v>
      </c>
      <c r="I668" s="75"/>
      <c r="J668" s="74">
        <f>J12+J341+J374+J547+J606+J628+J639</f>
        <v>1032748451.9999999</v>
      </c>
      <c r="K668" s="76"/>
      <c r="L668" s="74">
        <f>L12+L341+L374+L547+L606+L628+L639</f>
        <v>1101127477</v>
      </c>
      <c r="M668" s="75"/>
      <c r="N668" s="74">
        <f>N12+N341+N374+N547+N606+N628+N639</f>
        <v>1101127477</v>
      </c>
      <c r="O668" s="75"/>
      <c r="P668" s="74">
        <f>P12+P341+P374+P547+P606+P628+P639</f>
        <v>1104685498.69</v>
      </c>
      <c r="Q668" s="50"/>
      <c r="R668" s="74">
        <f>R12+R341+R374+R547+R606+R628+R639</f>
        <v>1238141892.69</v>
      </c>
      <c r="S668" s="50"/>
      <c r="T668" s="74">
        <f>T12+T341+T374+T547+T606+T628+T639</f>
        <v>1222662992.69</v>
      </c>
    </row>
  </sheetData>
  <sheetProtection selectLockedCells="1" selectUnlockedCells="1"/>
  <mergeCells count="3">
    <mergeCell ref="D2:E5"/>
    <mergeCell ref="A7:R9"/>
    <mergeCell ref="C6:T6"/>
  </mergeCells>
  <printOptions/>
  <pageMargins left="0.7874015748031497" right="0.7874015748031497" top="0" bottom="0" header="0.5118110236220472" footer="0.5118110236220472"/>
  <pageSetup fitToHeight="3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natevg</cp:lastModifiedBy>
  <cp:lastPrinted>2014-05-19T08:13:08Z</cp:lastPrinted>
  <dcterms:created xsi:type="dcterms:W3CDTF">2007-07-11T08:12:53Z</dcterms:created>
  <dcterms:modified xsi:type="dcterms:W3CDTF">2014-09-30T04:28:48Z</dcterms:modified>
  <cp:category/>
  <cp:version/>
  <cp:contentType/>
  <cp:contentStatus/>
</cp:coreProperties>
</file>