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9690" windowHeight="7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<sst xmlns="http://schemas.openxmlformats.org/spreadsheetml/2006/main" count="3425" uniqueCount="768">
  <si>
    <t>Реализация государственных функций в области социальной политики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</si>
  <si>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</si>
  <si>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</si>
  <si>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</si>
  <si>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</si>
  <si>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</si>
  <si>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</si>
  <si>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</si>
  <si>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0010000</t>
  </si>
  <si>
    <t>0103</t>
  </si>
  <si>
    <t>0104</t>
  </si>
  <si>
    <t>0106</t>
  </si>
  <si>
    <t>0650000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</si>
  <si>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</si>
  <si>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</si>
  <si>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</si>
  <si>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</si>
  <si>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</si>
  <si>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</si>
  <si>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</si>
  <si>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</si>
  <si>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</si>
  <si>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</si>
  <si>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</si>
  <si>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</si>
  <si>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</si>
  <si>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</si>
  <si>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</si>
  <si>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</si>
  <si>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</si>
  <si>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</si>
  <si>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</si>
  <si>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</si>
  <si>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4420000</t>
  </si>
  <si>
    <t>3500000</t>
  </si>
  <si>
    <t>5200000</t>
  </si>
  <si>
    <t>901</t>
  </si>
  <si>
    <t>6000000</t>
  </si>
  <si>
    <t>003</t>
  </si>
  <si>
    <t xml:space="preserve">Мероприятия в области коммунального хозяйства </t>
  </si>
  <si>
    <t>3510500</t>
  </si>
  <si>
    <t>Выполнение функций органами местного самоуправления</t>
  </si>
  <si>
    <t>500</t>
  </si>
  <si>
    <t>0503</t>
  </si>
  <si>
    <t>Благоустройство</t>
  </si>
  <si>
    <t xml:space="preserve">Уличное освещение </t>
  </si>
  <si>
    <t>6000100</t>
  </si>
  <si>
    <t>Организация и содержание мест захоронения</t>
  </si>
  <si>
    <t>6000400</t>
  </si>
  <si>
    <t xml:space="preserve">Прочие мероприятия по благоустройству городских округов </t>
  </si>
  <si>
    <t>6000500</t>
  </si>
  <si>
    <t xml:space="preserve">Другие вопросы в области жилищно-коммунального хозяйства </t>
  </si>
  <si>
    <t>0505</t>
  </si>
  <si>
    <t>Мероприятия по обеспечению жильем  отдельных категорий граждан</t>
  </si>
  <si>
    <t>Бюджетные инвестиции</t>
  </si>
  <si>
    <t xml:space="preserve">Поддержка жилищного хозяйства </t>
  </si>
  <si>
    <t>3500200</t>
  </si>
  <si>
    <t xml:space="preserve">Мероприятия в области жилищного хозяйства </t>
  </si>
  <si>
    <t>3500300</t>
  </si>
  <si>
    <t>Мероприятия  по сносу ветхого жилищного фонда</t>
  </si>
  <si>
    <t>3500302</t>
  </si>
  <si>
    <t>5210115</t>
  </si>
  <si>
    <t>0412</t>
  </si>
  <si>
    <t>Транспорт</t>
  </si>
  <si>
    <t>0408</t>
  </si>
  <si>
    <t>Автомобильный транспорт</t>
  </si>
  <si>
    <t>3030000</t>
  </si>
  <si>
    <t>3030200</t>
  </si>
  <si>
    <t>Водохозяйственные мероприятия</t>
  </si>
  <si>
    <t>Осуществление кап. ремонта ГТС, находящихся в собственности субъектов РФ, муниципальной собственности и безхозяйных ГТС</t>
  </si>
  <si>
    <t>2800300</t>
  </si>
  <si>
    <t>Мероприятия</t>
  </si>
  <si>
    <t>022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</si>
  <si>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</si>
  <si>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</si>
  <si>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</si>
  <si>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</si>
  <si>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</si>
  <si>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</si>
  <si>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</si>
  <si>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</si>
  <si>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</si>
  <si>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</si>
  <si>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</si>
  <si>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</si>
  <si>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</si>
  <si>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</si>
  <si>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0020800</t>
  </si>
  <si>
    <t>Глава местной администрации (исполнительно-распорядительного органа муниципального образования)</t>
  </si>
  <si>
    <t>0021500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</si>
  <si>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</si>
  <si>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</si>
  <si>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0022500</t>
  </si>
  <si>
    <t>0111</t>
  </si>
  <si>
    <t>0650300</t>
  </si>
  <si>
    <t>Реализация государственных функций, связанных с  общегосударственным управлением</t>
  </si>
  <si>
    <t>0920300</t>
  </si>
  <si>
    <t>Учреждения по обеспечению хозяйственного обслуживания</t>
  </si>
  <si>
    <t>Мобилизационная вневойсковая подготовка</t>
  </si>
  <si>
    <t>0203</t>
  </si>
  <si>
    <t>0013600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</si>
  <si>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</si>
  <si>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</si>
  <si>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</si>
  <si>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</si>
  <si>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2180100</t>
  </si>
  <si>
    <t>Обеспечение пожарной безопасности</t>
  </si>
  <si>
    <t>4310100</t>
  </si>
  <si>
    <t>Проведение мероприятий для детей и молодежи</t>
  </si>
  <si>
    <t xml:space="preserve">Реализация государственной политики в  области приватизации и управления государственной и муниципальной  собственностью </t>
  </si>
  <si>
    <t>4409900</t>
  </si>
  <si>
    <t>4430000</t>
  </si>
  <si>
    <t>4520000</t>
  </si>
  <si>
    <t>4230000</t>
  </si>
  <si>
    <t>906</t>
  </si>
  <si>
    <t>Дошкольное образование</t>
  </si>
  <si>
    <t>0701</t>
  </si>
  <si>
    <t>Детские дошкольные учреждения</t>
  </si>
  <si>
    <t>4200000</t>
  </si>
  <si>
    <t>Школы -детские сады, школы начальные, неполные средние и средние</t>
  </si>
  <si>
    <t>4210000</t>
  </si>
  <si>
    <t>Ежемесячное денежное вознаграждение за классное руководство</t>
  </si>
  <si>
    <t>5200900</t>
  </si>
  <si>
    <t>Физическая культура и спорт</t>
  </si>
  <si>
    <t>5129700</t>
  </si>
  <si>
    <t>1001</t>
  </si>
  <si>
    <t>Доплаты к пенсиям 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</si>
  <si>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</si>
  <si>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</si>
  <si>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</si>
  <si>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по организации оздоровительной компании детей  и подростков</t>
  </si>
  <si>
    <t>4320000</t>
  </si>
  <si>
    <t>4320200</t>
  </si>
  <si>
    <t>4360900</t>
  </si>
  <si>
    <t>Учебно-методические кабинеты, центральные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</si>
  <si>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 xml:space="preserve">                                                                                     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</si>
  <si>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</si>
  <si>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</si>
  <si>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</si>
  <si>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Территориальные органы</t>
  </si>
  <si>
    <t>Обслуживание государственного и муниципального долга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</si>
  <si>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</si>
  <si>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</si>
  <si>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</si>
  <si>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</si>
  <si>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</si>
  <si>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</si>
  <si>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</si>
  <si>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</si>
  <si>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</si>
  <si>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</si>
  <si>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</si>
  <si>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</si>
  <si>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</si>
  <si>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</si>
  <si>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</si>
  <si>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Молодежная политика и оздоровление детей</t>
  </si>
  <si>
    <t>Организационно-воспитательная работа с молодежью</t>
  </si>
  <si>
    <t>Оздоровление детей и подростков</t>
  </si>
  <si>
    <t>Другие вопросы в области образования</t>
  </si>
  <si>
    <t>Мероприятия в области образования</t>
  </si>
  <si>
    <t>Культура</t>
  </si>
  <si>
    <t>Библиотеки</t>
  </si>
  <si>
    <t>Театры, цирки, концертные и другие организации исполнительских искусств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</si>
  <si>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</si>
  <si>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</si>
  <si>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</si>
  <si>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обеспечение населения</t>
  </si>
  <si>
    <t>Прочие выплаты по обязательствам государства</t>
  </si>
  <si>
    <t>0920305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</si>
  <si>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</si>
  <si>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</si>
  <si>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</si>
  <si>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Осуществление государственного полномочия по хранению, комплектованию, учету и испольхованию архивных документов, находящихся в государственной собственности Свердловской области</t>
  </si>
  <si>
    <t>5220008</t>
  </si>
  <si>
    <t>Осуществление меропритяий по организации питания в муниципальных образовательных учреждениях</t>
  </si>
  <si>
    <t>912</t>
  </si>
  <si>
    <t>Всего расходов:</t>
  </si>
  <si>
    <t>Мероприятия по обеспечению жильем молодых семей и молодых специалистов, прожививающих и работотающих в сельской местности</t>
  </si>
  <si>
    <t>Проведение мероприятий  по обеспечению жильем граждан проживающих в сельской местности</t>
  </si>
  <si>
    <t>Переселение граждан из аварийного жилищного фонда</t>
  </si>
  <si>
    <t>5210305</t>
  </si>
  <si>
    <t>Судебная система</t>
  </si>
  <si>
    <t>Составление ( изменение и дополнение) списков кандидатов в присяжные заседатели федеральных судов общей юрисдикции в РФ</t>
  </si>
  <si>
    <t>0105</t>
  </si>
  <si>
    <t>0014000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</si>
  <si>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</si>
  <si>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</si>
  <si>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</si>
  <si>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</si>
  <si>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913</t>
  </si>
  <si>
    <t>902</t>
  </si>
  <si>
    <t>5210129</t>
  </si>
  <si>
    <t xml:space="preserve">Межевание территории земельных участков и (или) паспортизация автомобильных дорог для осуществления дорожной деятельности в отношении  автомобильных дорог местного значения </t>
  </si>
  <si>
    <t>3500312</t>
  </si>
  <si>
    <t>5210600</t>
  </si>
  <si>
    <t>МОУО Муниципального образования Красноуфимский округ</t>
  </si>
  <si>
    <t>5140000</t>
  </si>
  <si>
    <t>Целевые программы муниципального образования</t>
  </si>
  <si>
    <t>099</t>
  </si>
  <si>
    <t>Субсидии на осуществление мероприятий по обеспечению жильем граждан, проживающих в сельской местности</t>
  </si>
  <si>
    <t>Федеральная целевая программа "Социальное развитие села до 2012 года"</t>
  </si>
  <si>
    <t>Мероприятия по обеспечению жильем молодых семей и молодых специалистов , проживающих и работающих в сельской местности</t>
  </si>
  <si>
    <t>1001101</t>
  </si>
  <si>
    <t>Социальная помощь</t>
  </si>
  <si>
    <t>Наименование главного распорядителя бюджетных средств</t>
  </si>
  <si>
    <t>5054600</t>
  </si>
  <si>
    <t>Оплата жилищно-коммунальных услуг отдельным категориям граждан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</si>
  <si>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</si>
  <si>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 xml:space="preserve">Резервный фонд </t>
  </si>
  <si>
    <t>0700000</t>
  </si>
  <si>
    <t>Резервный фонд исполнительных органов государственной власти субъектов РФ</t>
  </si>
  <si>
    <t>0700400</t>
  </si>
  <si>
    <t>5140101</t>
  </si>
  <si>
    <t>1001102</t>
  </si>
  <si>
    <t>0920303</t>
  </si>
  <si>
    <t>0113</t>
  </si>
  <si>
    <t>Мероприятия в области  физической культуры и спорта</t>
  </si>
  <si>
    <t>0804</t>
  </si>
  <si>
    <t xml:space="preserve">Культура,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</si>
  <si>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</si>
  <si>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</si>
  <si>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Расходы, связанные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</si>
  <si>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</si>
  <si>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</si>
  <si>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5210153</t>
  </si>
  <si>
    <t>Межбюджетные трансферты местным бюджетам</t>
  </si>
  <si>
    <t>5210000</t>
  </si>
  <si>
    <t>5210100</t>
  </si>
  <si>
    <t>Субсидии местным бюджетам</t>
  </si>
  <si>
    <t>Осуществление первичного воинского учета на территориях, где отсутствуют военные комиссариаты</t>
  </si>
  <si>
    <t>1100</t>
  </si>
  <si>
    <t>Связь и информатика</t>
  </si>
  <si>
    <t>0410</t>
  </si>
  <si>
    <t>1300</t>
  </si>
  <si>
    <t>1301</t>
  </si>
  <si>
    <t>Областная целевая программа "Информационное общество СО на 2011-2015 г.г"</t>
  </si>
  <si>
    <t>Исполнение судебных актов по искам к бюджету округа</t>
  </si>
  <si>
    <t>0920100</t>
  </si>
  <si>
    <t>7950440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</si>
  <si>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</si>
  <si>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</si>
  <si>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</si>
  <si>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</si>
  <si>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</si>
  <si>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</si>
  <si>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</si>
  <si>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</si>
  <si>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Содержание и обеспечение деятельности вновь создаваемых финансовых органов муниципальных образований в Свердловской области</t>
  </si>
  <si>
    <t>Отдел культуры и туризма администрации Муниципального образования Красноуфимский округ</t>
  </si>
  <si>
    <t>4230001</t>
  </si>
  <si>
    <t>4409901</t>
  </si>
  <si>
    <t>4200006</t>
  </si>
  <si>
    <t>Другие вопросы в области социальной политики</t>
  </si>
  <si>
    <t>1006</t>
  </si>
  <si>
    <t>7950101</t>
  </si>
  <si>
    <t>7950103</t>
  </si>
  <si>
    <t>7950301</t>
  </si>
  <si>
    <t>7950201</t>
  </si>
  <si>
    <t>7950401</t>
  </si>
  <si>
    <t>7950602</t>
  </si>
  <si>
    <t>7950701</t>
  </si>
  <si>
    <t>7950801</t>
  </si>
  <si>
    <t>7950501</t>
  </si>
  <si>
    <t>7950601</t>
  </si>
  <si>
    <t>7951101</t>
  </si>
  <si>
    <t>4320201</t>
  </si>
  <si>
    <t>Процентые платежи по  муниципальному долгу</t>
  </si>
  <si>
    <t>Меропрития в области коммунального хозяйства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</si>
  <si>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</si>
  <si>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</si>
  <si>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</si>
  <si>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</si>
  <si>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</si>
  <si>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</si>
  <si>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</si>
  <si>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</si>
  <si>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</si>
  <si>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</si>
  <si>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</si>
  <si>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>7952001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</si>
  <si>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творчества,школах искусств, детям-сиротам, детям, оставшимся без попечения родителей, и иных категорий несовершеннолетних граждан, нуждающихся в социальной поддержке.</t>
  </si>
  <si>
    <t>Капремонт зданий и помещений, в которых размещаются  МУ культуры и оснащение  учреждений специальным оборудованием, музыкальным оборудованием, инвентаорем и музыкальными инструментами</t>
  </si>
  <si>
    <t>8170003</t>
  </si>
  <si>
    <t>7951701</t>
  </si>
  <si>
    <t>7952301</t>
  </si>
  <si>
    <t>7952201</t>
  </si>
  <si>
    <t>7951301</t>
  </si>
  <si>
    <t>7951401</t>
  </si>
  <si>
    <t>8250101</t>
  </si>
  <si>
    <t>8250102</t>
  </si>
  <si>
    <t>Реализация меропритяий областной государственной программы "Экология и природные ресурсы Свердловской области" на 2009-2011 годы</t>
  </si>
  <si>
    <t>7952101</t>
  </si>
  <si>
    <t>МЦП "Обеспечение жильем молодых семей на территории Муниципального образования Красноуфимский округ на 2011-2015 годы"</t>
  </si>
  <si>
    <t>8150000</t>
  </si>
  <si>
    <t>7951901</t>
  </si>
  <si>
    <t>МЦП  "Восстановление пожарного водоснабжения на территории Муниципального образования Красноуфимский округ на 2012 - 2014 годы"</t>
  </si>
  <si>
    <t>МЦП  "Патриотическое воспитание молодежи Муниципального образования Красноуфимский округ на 2011 - 2015 годы"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</si>
  <si>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2010-2012 годы"</t>
  </si>
  <si>
    <t>МЦП "Развитие физической культуры, спорта и формирования здорового  образа жизни населения МО Красноуфимский округ " на 2012-2015гг.</t>
  </si>
  <si>
    <t>7952401</t>
  </si>
  <si>
    <t>7950102</t>
  </si>
  <si>
    <t>7952501</t>
  </si>
  <si>
    <t xml:space="preserve">Резервные фонды местных администраций </t>
  </si>
  <si>
    <t>0700500</t>
  </si>
  <si>
    <t xml:space="preserve">Резервные фонды </t>
  </si>
  <si>
    <t>Целевая программа муниципального образования "Информатизация МО Красноуфимский округ на 2011-2015 годы"</t>
  </si>
  <si>
    <t>Муниципальные целевые программы</t>
  </si>
  <si>
    <t>МЦП "Комплексная программа профилактики правонарушений на территории Муниципального образования Красноуфимский округ на 2012-2014 годы"</t>
  </si>
  <si>
    <t>МЦП "Совершенствование организации питания учащихся в образовательных учреждениях Муниципального образования Красноуфимский округ на 2011-2015 г. "</t>
  </si>
  <si>
    <t>МЦП  "Совершенствование организации подвоза обучающихся в общеобразовательные учреждения Муниципального образования Красноуфимский округ на 2011-2015 годы"</t>
  </si>
  <si>
    <t>Красноуфимская районная территориальная избирательная комиссия</t>
  </si>
  <si>
    <t>918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</si>
  <si>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</si>
  <si>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</si>
  <si>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</si>
  <si>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</si>
  <si>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</si>
  <si>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</si>
  <si>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</si>
  <si>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</si>
  <si>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</si>
  <si>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</si>
  <si>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5260200</t>
  </si>
  <si>
    <t>Закупка товаров, работ, услуг в целях капитального ремонта</t>
  </si>
  <si>
    <t>243</t>
  </si>
  <si>
    <t>880</t>
  </si>
  <si>
    <t>Специальные расходы</t>
  </si>
  <si>
    <t>5240200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</si>
  <si>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</si>
  <si>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5250110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</si>
  <si>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</si>
  <si>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5250120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</si>
  <si>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расходов, направляемых на мордернизацию системы общего образования</t>
  </si>
  <si>
    <t>5250130</t>
  </si>
  <si>
    <t>5260400</t>
  </si>
  <si>
    <t>314</t>
  </si>
  <si>
    <t>4329900</t>
  </si>
  <si>
    <t>611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</si>
  <si>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</si>
  <si>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</si>
  <si>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</si>
  <si>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121</t>
  </si>
  <si>
    <t>Уплата прочих налогов, сборов и иных платежей</t>
  </si>
  <si>
    <t>7950104</t>
  </si>
  <si>
    <t>312</t>
  </si>
  <si>
    <t>Пенсии, выплачиваемые организациями сектора государственного управления</t>
  </si>
  <si>
    <t>5250100</t>
  </si>
  <si>
    <t>122</t>
  </si>
  <si>
    <t>Меры социальной поддержки населения по публичным нормативным обязательствам</t>
  </si>
  <si>
    <t>870</t>
  </si>
  <si>
    <t>831</t>
  </si>
  <si>
    <t>Субсидии юридическим лицам (кроме гос.учреждений) и физическим лицам- производителям товаров, работ и услуг</t>
  </si>
  <si>
    <t>810</t>
  </si>
  <si>
    <t>730</t>
  </si>
  <si>
    <t>5260300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</si>
  <si>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</si>
  <si>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</si>
  <si>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</si>
  <si>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</si>
  <si>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5250200</t>
  </si>
  <si>
    <t>5250600</t>
  </si>
  <si>
    <t>5250700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</si>
  <si>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</si>
  <si>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</si>
  <si>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</si>
  <si>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</si>
  <si>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Субсидии юридическим лицам (кроме государственных учреждений) и физическим лицам - производителям товаров, работ, услуг</t>
  </si>
  <si>
    <t>411</t>
  </si>
  <si>
    <t xml:space="preserve">Бюджетные инвестиции в объекты
муниципальной собственности казенным  учреждениям </t>
  </si>
  <si>
    <t>Процентые платежи по  долговым обязательствам</t>
  </si>
  <si>
    <t xml:space="preserve">Исполнение судебных актов </t>
  </si>
  <si>
    <t>МЦП "Содействие развитию малого и среднего предпринимательства в МО Красноуфимский округ на 2012 - 2014 годы"</t>
  </si>
  <si>
    <t xml:space="preserve">Прочая закупка товаров, работ и услуг для муниципальных нужд </t>
  </si>
  <si>
    <t>МЦП  "Развитие образования в муниципальном образовании Красноуфимский округ ("Наша новая школа") на 2012-2015 годы"</t>
  </si>
  <si>
    <t>7952601</t>
  </si>
  <si>
    <t>0</t>
  </si>
  <si>
    <t>Дорожное хозяйство (дорожные фонды)</t>
  </si>
  <si>
    <t>0409</t>
  </si>
  <si>
    <t>Дорожное хозяйство</t>
  </si>
  <si>
    <t>3150000</t>
  </si>
  <si>
    <t>Управление дорожным хозяйством</t>
  </si>
  <si>
    <t>3150100</t>
  </si>
  <si>
    <t>3150103</t>
  </si>
  <si>
    <t>Ремонт и содержание автомобильных дорог местного значения</t>
  </si>
  <si>
    <t>3030201</t>
  </si>
  <si>
    <t>3030202</t>
  </si>
  <si>
    <t>3400200</t>
  </si>
  <si>
    <t>Инженерное обустройство земель для ведения коллективного садоводства</t>
  </si>
  <si>
    <t>Субсидии на возмещение затрат транспортным организациям, связанных с обеспечением равной доступности транспортных услуг</t>
  </si>
  <si>
    <t>Субсидии на проведение отдельных мероприятий в области автомобильного транспорта</t>
  </si>
  <si>
    <t>Водное хозяйство</t>
  </si>
  <si>
    <t>МЦП "Программа по реализации мер по реконструкции и развитию материальной базы Загородного оздоровительного лагеря для детей "Черкасово" Муниципального образования Красноуфимский округ на 2011-2015 годы"</t>
  </si>
  <si>
    <t>Озеленение</t>
  </si>
  <si>
    <t>6000300</t>
  </si>
  <si>
    <t>Содержание и ремонт объектов недвижимости, находящихся в муниципальной собственности</t>
  </si>
  <si>
    <t>0900300</t>
  </si>
  <si>
    <t xml:space="preserve">Содержание и развитие системы по предупреждению и ликвидации чрезвычайных ситуаций и стихийных бедствий </t>
  </si>
  <si>
    <t>2180500</t>
  </si>
  <si>
    <t>4200005</t>
  </si>
  <si>
    <t>4210005</t>
  </si>
  <si>
    <t>МЦП "Градостроительное развитие территории Муниципального образования Красноуфимский округ на 2012-2015 годы"</t>
  </si>
  <si>
    <t>4400200</t>
  </si>
  <si>
    <t>Комплектование книжных фондов библиотек муниципальных образований</t>
  </si>
  <si>
    <t>МЦП "Оснащение многоквартирных домов и муниципальных учреждений на территории Муниципального образования Красноуфимский округ приборами учета потребления энергетических ресурсов в 2011-2012 годах</t>
  </si>
  <si>
    <t>МЦП "Газификация МО Красноуфимский округ на 2012-2015 годы</t>
  </si>
  <si>
    <t>8220000</t>
  </si>
  <si>
    <t>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</si>
  <si>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>0900400</t>
  </si>
  <si>
    <t>220000</t>
  </si>
  <si>
    <t>5240400</t>
  </si>
  <si>
    <t>5240500</t>
  </si>
  <si>
    <t>Расходы на оплату коммунальных услуг муниципальными учреждениями</t>
  </si>
  <si>
    <t>Расходы на повышение  размера минимальной заработной платы платы работникам муниципальных учреждений (за исключением  муниципальных общеообразовательных учреждений)</t>
  </si>
  <si>
    <t>Субсидии на возмещение затрат транспортным организациям  и индивидуальным предпринимателям, осуществляющим перевозку по субсидируемым маршрутам</t>
  </si>
  <si>
    <t>МЦП "Энергосбережение и повышение энергетической эффективности МО Красноуфимский округ Свердловской области на 2010-2020 годы"</t>
  </si>
  <si>
    <t>7952701</t>
  </si>
  <si>
    <t>Осуществление государственного полномочия по созданию админстративных комиссий</t>
  </si>
  <si>
    <t>Расходы на содействие достижения и поощрения наулучших значений показателей деятельности органов местного самоуправления</t>
  </si>
  <si>
    <t>5260100</t>
  </si>
  <si>
    <t>Расходы на содействие  достижения и поощрения  достижения наилучших значений показателей  деятельности органов местного самоуправления</t>
  </si>
  <si>
    <t>13874000</t>
  </si>
  <si>
    <t>633000</t>
  </si>
  <si>
    <t>300000</t>
  </si>
  <si>
    <t>1080000</t>
  </si>
  <si>
    <t>853000</t>
  </si>
  <si>
    <t>233500</t>
  </si>
  <si>
    <t>12945700</t>
  </si>
  <si>
    <t>700000</t>
  </si>
  <si>
    <t>126000</t>
  </si>
  <si>
    <t>1328246</t>
  </si>
  <si>
    <t>46000</t>
  </si>
  <si>
    <t>91000</t>
  </si>
  <si>
    <t>258754</t>
  </si>
  <si>
    <t>898000</t>
  </si>
  <si>
    <t>400000</t>
  </si>
  <si>
    <t>6060600</t>
  </si>
  <si>
    <t>470400</t>
  </si>
  <si>
    <t>415600</t>
  </si>
  <si>
    <t>4269000</t>
  </si>
  <si>
    <t>1591415</t>
  </si>
  <si>
    <t>2233793</t>
  </si>
  <si>
    <t>1450</t>
  </si>
  <si>
    <t>9071385</t>
  </si>
  <si>
    <t>90000</t>
  </si>
  <si>
    <t>652206</t>
  </si>
  <si>
    <t>3992666</t>
  </si>
  <si>
    <t>3041</t>
  </si>
  <si>
    <t>7096</t>
  </si>
  <si>
    <t>919763</t>
  </si>
  <si>
    <t>50000</t>
  </si>
  <si>
    <t xml:space="preserve"> МЦП "Развитие муниципальной службы в МО Красноуфимский округ на 2012-2014 годы"</t>
  </si>
  <si>
    <t>117000</t>
  </si>
  <si>
    <t>1143198</t>
  </si>
  <si>
    <t>3500</t>
  </si>
  <si>
    <t>89500</t>
  </si>
  <si>
    <t>34902</t>
  </si>
  <si>
    <t>650126</t>
  </si>
  <si>
    <t>31660</t>
  </si>
  <si>
    <t>21214</t>
  </si>
  <si>
    <t>13000</t>
  </si>
  <si>
    <t>МЦП"Программа приватизации  муниципального имущества  Муниципального образования Красноуфимский округ на 2013год"</t>
  </si>
  <si>
    <t>1740000</t>
  </si>
  <si>
    <t>1169925</t>
  </si>
  <si>
    <t>41100</t>
  </si>
  <si>
    <t>141879</t>
  </si>
  <si>
    <t>115</t>
  </si>
  <si>
    <t>1329958</t>
  </si>
  <si>
    <t>10000</t>
  </si>
  <si>
    <t>69823</t>
  </si>
  <si>
    <t>67000</t>
  </si>
  <si>
    <t>525100</t>
  </si>
  <si>
    <t>654122</t>
  </si>
  <si>
    <t>1945</t>
  </si>
  <si>
    <t>26000</t>
  </si>
  <si>
    <t>27460</t>
  </si>
  <si>
    <t>603273</t>
  </si>
  <si>
    <t>3200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</si>
  <si>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</si>
  <si>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42420</t>
  </si>
  <si>
    <t>1267000</t>
  </si>
  <si>
    <t>696000</t>
  </si>
  <si>
    <t>957000</t>
  </si>
  <si>
    <t>4937942</t>
  </si>
  <si>
    <t>29332</t>
  </si>
  <si>
    <t>35369</t>
  </si>
  <si>
    <t>53357</t>
  </si>
  <si>
    <t>6180</t>
  </si>
  <si>
    <t>257583</t>
  </si>
  <si>
    <t>150000</t>
  </si>
  <si>
    <t>685000</t>
  </si>
  <si>
    <t>15000</t>
  </si>
  <si>
    <t>8880042</t>
  </si>
  <si>
    <t>13327</t>
  </si>
  <si>
    <t>246100</t>
  </si>
  <si>
    <t>1552790</t>
  </si>
  <si>
    <t>20000</t>
  </si>
  <si>
    <t>426546</t>
  </si>
  <si>
    <t>4800</t>
  </si>
  <si>
    <t>7660</t>
  </si>
  <si>
    <t>894</t>
  </si>
  <si>
    <t>550000</t>
  </si>
  <si>
    <t>600000</t>
  </si>
  <si>
    <t>58000</t>
  </si>
  <si>
    <t>30000</t>
  </si>
  <si>
    <t>200000</t>
  </si>
  <si>
    <t>606732</t>
  </si>
  <si>
    <t>214268</t>
  </si>
  <si>
    <t>77000</t>
  </si>
  <si>
    <t>208000</t>
  </si>
  <si>
    <t>4113000</t>
  </si>
  <si>
    <t>722000</t>
  </si>
  <si>
    <t>730000</t>
  </si>
  <si>
    <t>39000</t>
  </si>
  <si>
    <t>171000</t>
  </si>
  <si>
    <t>841</t>
  </si>
  <si>
    <t xml:space="preserve"> Исполнение муниципальных гарантий </t>
  </si>
  <si>
    <t xml:space="preserve">Муниципальные гарантии </t>
  </si>
  <si>
    <t>20000000</t>
  </si>
  <si>
    <t>100000</t>
  </si>
  <si>
    <t>5079385</t>
  </si>
  <si>
    <t>550815</t>
  </si>
  <si>
    <t>17200</t>
  </si>
  <si>
    <t>9600</t>
  </si>
  <si>
    <t>938300</t>
  </si>
  <si>
    <t>615700</t>
  </si>
  <si>
    <t>600</t>
  </si>
  <si>
    <t>2066900</t>
  </si>
  <si>
    <t>2987900</t>
  </si>
  <si>
    <t>545650</t>
  </si>
  <si>
    <t>168250</t>
  </si>
  <si>
    <t>1004500</t>
  </si>
  <si>
    <t>7951201</t>
  </si>
  <si>
    <t>МЦП " Информатизация  Муниципального образования Красноуфимский округ на 2011-2015 годы"</t>
  </si>
  <si>
    <t>85000</t>
  </si>
  <si>
    <t>520000</t>
  </si>
  <si>
    <t>46060</t>
  </si>
  <si>
    <t>2493000</t>
  </si>
  <si>
    <t>258000</t>
  </si>
  <si>
    <t>23624</t>
  </si>
  <si>
    <t>168376</t>
  </si>
  <si>
    <t>14749</t>
  </si>
  <si>
    <t>68651</t>
  </si>
  <si>
    <t>11416000</t>
  </si>
  <si>
    <t>64279000</t>
  </si>
  <si>
    <t>7950901</t>
  </si>
  <si>
    <t>221500</t>
  </si>
  <si>
    <t>4113500</t>
  </si>
  <si>
    <t>11874980</t>
  </si>
  <si>
    <t>Защита населения и территории от чрезвычайных ситуаций природного и техногенного характера, гражданская оборона</t>
  </si>
  <si>
    <t>МЦП "Народосбережение на 2013 год"</t>
  </si>
  <si>
    <t>МЦП  «Народосбережение» на 2013 год</t>
  </si>
  <si>
    <t>Сбор, удаление отходов и очистка сточных вод</t>
  </si>
  <si>
    <t>0602</t>
  </si>
  <si>
    <t>7951801</t>
  </si>
  <si>
    <t>МЦП "Создание системы кадастра недвижимости в МО Красноуфимский округ" на 2013 год</t>
  </si>
  <si>
    <t>00</t>
  </si>
  <si>
    <t>2044000</t>
  </si>
  <si>
    <t>1744000</t>
  </si>
  <si>
    <t>25600</t>
  </si>
  <si>
    <t>3000000</t>
  </si>
  <si>
    <t>МЦП "Охрана окружающей среды в МО Красноуфимский округ" на 2013 год</t>
  </si>
  <si>
    <t>7950105</t>
  </si>
  <si>
    <t>-100000</t>
  </si>
  <si>
    <t>-235000</t>
  </si>
  <si>
    <t>45000</t>
  </si>
  <si>
    <t>439000</t>
  </si>
  <si>
    <t>-42420</t>
  </si>
  <si>
    <t>-530000</t>
  </si>
  <si>
    <t>530000</t>
  </si>
  <si>
    <t>-44000</t>
  </si>
  <si>
    <t>-3816</t>
  </si>
  <si>
    <t>3816</t>
  </si>
  <si>
    <t>-868</t>
  </si>
  <si>
    <t>100868</t>
  </si>
  <si>
    <t>7951001</t>
  </si>
  <si>
    <t>Приобретение и  имущества, подлежащего зачислению в муниципальную казну</t>
  </si>
  <si>
    <t>3720000</t>
  </si>
  <si>
    <t>350000</t>
  </si>
  <si>
    <t>5476100</t>
  </si>
  <si>
    <t>18000</t>
  </si>
  <si>
    <t>-18000</t>
  </si>
  <si>
    <t>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 и бесхозяйных гидротехнических сооружений</t>
  </si>
  <si>
    <t>МЦП "Информатизация МО Красноуфимский округ на 2011-2015 годы"</t>
  </si>
  <si>
    <t>56500</t>
  </si>
  <si>
    <t>4209900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</si>
  <si>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</si>
  <si>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8200010</t>
  </si>
  <si>
    <t>-33590</t>
  </si>
  <si>
    <t>-4186503</t>
  </si>
  <si>
    <t>2033620</t>
  </si>
  <si>
    <t>2000</t>
  </si>
  <si>
    <t>-1800</t>
  </si>
  <si>
    <t>1800</t>
  </si>
  <si>
    <t>-1000</t>
  </si>
  <si>
    <t>8260299</t>
  </si>
  <si>
    <t>400</t>
  </si>
  <si>
    <t>Подпрограмма "Развитие газификации"</t>
  </si>
  <si>
    <t>Проведение мероприятий по развитию газификации</t>
  </si>
  <si>
    <t>8260200</t>
  </si>
  <si>
    <t xml:space="preserve">ОЦП "Развитие жилищного комплекса в Свердловской области" на 2011 - 2015 годы"
</t>
  </si>
  <si>
    <t>8040000</t>
  </si>
  <si>
    <t xml:space="preserve">Подпрограмма "Обеспечение жильем   ¦молодых семей" 
</t>
  </si>
  <si>
    <t>8040500</t>
  </si>
  <si>
    <t>162693</t>
  </si>
  <si>
    <t>690</t>
  </si>
  <si>
    <t>-31500</t>
  </si>
  <si>
    <t>-131883</t>
  </si>
  <si>
    <t xml:space="preserve">Другие вопросы в области национальной безопасности и правоохранительной деятельности
</t>
  </si>
  <si>
    <t>0314</t>
  </si>
  <si>
    <t>2470000</t>
  </si>
  <si>
    <t>2471000</t>
  </si>
  <si>
    <t>-379000</t>
  </si>
  <si>
    <t>629918</t>
  </si>
  <si>
    <t>341082</t>
  </si>
  <si>
    <t>250</t>
  </si>
  <si>
    <t>-250,01</t>
  </si>
  <si>
    <t>129000</t>
  </si>
  <si>
    <t>0,01</t>
  </si>
  <si>
    <t>-45000</t>
  </si>
  <si>
    <t>-46200</t>
  </si>
  <si>
    <t>-32000</t>
  </si>
  <si>
    <t>+123200</t>
  </si>
  <si>
    <t>130000</t>
  </si>
  <si>
    <t>8030000</t>
  </si>
  <si>
    <t>Подпрограмма "Развитие и обеспечение сохранности сети автомобильных дорог на территории Свердловской области"</t>
  </si>
  <si>
    <t>8030200</t>
  </si>
  <si>
    <t>«Капитальный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</si>
  <si>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8030210</t>
  </si>
  <si>
    <t>4464000</t>
  </si>
  <si>
    <t>ОЦП "Развитие жилищного комплекса в Свердловской области " на 2011 - 2015 годы</t>
  </si>
  <si>
    <t xml:space="preserve">Подпрограмма "Подготовка документов территориального планирования, градостроительного зонирования и документации по планировке территорий" </t>
  </si>
  <si>
    <t>Подготовка документации по планировке территории муниципальных образований в Свердловской области</t>
  </si>
  <si>
    <t>8040600</t>
  </si>
  <si>
    <t>8040601</t>
  </si>
  <si>
    <t>7445500</t>
  </si>
  <si>
    <t>Региональные целевые программы</t>
  </si>
  <si>
    <t>8000000</t>
  </si>
  <si>
    <t>8190000</t>
  </si>
  <si>
    <t>8110000</t>
  </si>
  <si>
    <t>8110020</t>
  </si>
  <si>
    <t>Направление "Совершенствование организации медицинской помощи учащимся общеобразовательных учреждений и детско-юношеских спортивных школ Свердловской области" на 2011-2015 годы</t>
  </si>
  <si>
    <t>8090000</t>
  </si>
  <si>
    <t>8090999</t>
  </si>
  <si>
    <t>8110010</t>
  </si>
  <si>
    <t>36567,50</t>
  </si>
  <si>
    <t>505,5</t>
  </si>
  <si>
    <t>ОЦП "Информационное общество Свердловской области" на 2011 - 2015 годы</t>
  </si>
  <si>
    <t>119758</t>
  </si>
  <si>
    <t>42985</t>
  </si>
  <si>
    <t>-42985</t>
  </si>
  <si>
    <t>-50000</t>
  </si>
  <si>
    <t>-200000</t>
  </si>
  <si>
    <t>Резервные фонды  местных администраций</t>
  </si>
  <si>
    <t>Пособия и компенсации гражданам и иные социальные выплаты</t>
  </si>
  <si>
    <t>321</t>
  </si>
  <si>
    <t>47400</t>
  </si>
  <si>
    <t>-47400</t>
  </si>
  <si>
    <t>АПРЕЛЬ</t>
  </si>
  <si>
    <t>ОЦП "Развитие культуры в Свердловской области " на 2011-2015гг</t>
  </si>
  <si>
    <t>7720000</t>
  </si>
  <si>
    <t>5240600</t>
  </si>
  <si>
    <t>4548000</t>
  </si>
  <si>
    <t>Расходы на поэтапное повышение   средней заработной платы  работникам муниципальных учреждений культуры</t>
  </si>
  <si>
    <t>5240900</t>
  </si>
  <si>
    <t>262000</t>
  </si>
  <si>
    <t>Резервный фонд субъектов РФ</t>
  </si>
  <si>
    <t>Модернизация региональных систем общего образования</t>
  </si>
  <si>
    <t>4362100</t>
  </si>
  <si>
    <t>Реализация мер по поэтапному повышению средней заработной платы педагогических работников муниципальных учреждений дополнительного образования</t>
  </si>
  <si>
    <t>Реализация мер по  поэтапному повышению   средней заработной платы  педагогических работников муниципальных учреждений дополнительного образования</t>
  </si>
  <si>
    <t xml:space="preserve"> </t>
  </si>
  <si>
    <t>-30000</t>
  </si>
  <si>
    <t>8988,02</t>
  </si>
  <si>
    <t>64560</t>
  </si>
  <si>
    <t>-10000</t>
  </si>
  <si>
    <t>-54560</t>
  </si>
  <si>
    <t>-5242,54</t>
  </si>
  <si>
    <t>3000</t>
  </si>
  <si>
    <t>76996</t>
  </si>
  <si>
    <t>-76996</t>
  </si>
  <si>
    <t>5220000</t>
  </si>
  <si>
    <t>Строительство объектов социальной и коммунальной инфраструктуры</t>
  </si>
  <si>
    <t>5220012</t>
  </si>
  <si>
    <t>ОЦП "Патриотическое воспитание граждан в Свердловской области" на 2011 - 2015 годы"</t>
  </si>
  <si>
    <t>8210000</t>
  </si>
  <si>
    <t xml:space="preserve">Приобретение оборудования для организаций, занимающихся патриотическим воспитанием граждан в Свердловской области, и мероприятия по патриотическому воспитанию в муниципальных образованиях в Свердловской области
</t>
  </si>
  <si>
    <t>8210003</t>
  </si>
  <si>
    <t>-4500</t>
  </si>
  <si>
    <t>4500</t>
  </si>
  <si>
    <t>1600</t>
  </si>
  <si>
    <t>-1600</t>
  </si>
  <si>
    <t>800</t>
  </si>
  <si>
    <t>-600000</t>
  </si>
  <si>
    <t>-1100000</t>
  </si>
  <si>
    <t>96716,52</t>
  </si>
  <si>
    <t>-75402</t>
  </si>
  <si>
    <t>-500000</t>
  </si>
  <si>
    <t>-3000000</t>
  </si>
  <si>
    <t>4219900</t>
  </si>
  <si>
    <t>-5496,93</t>
  </si>
  <si>
    <t>3696,80</t>
  </si>
  <si>
    <t>464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</si>
  <si>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</si>
  <si>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</si>
  <si>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622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</si>
  <si>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</si>
  <si>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</si>
  <si>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бюджетным учреждениям</t>
  </si>
  <si>
    <t>Бюджетные инвестиции в объекты муниципальной собственности казенным учреждениям</t>
  </si>
  <si>
    <t>855000</t>
  </si>
  <si>
    <t>ИЮНЬ</t>
  </si>
  <si>
    <t>1500</t>
  </si>
  <si>
    <t>4000</t>
  </si>
  <si>
    <t>8735,4</t>
  </si>
  <si>
    <t>-61000</t>
  </si>
  <si>
    <t>61000</t>
  </si>
  <si>
    <t>24000</t>
  </si>
  <si>
    <t>-2011666,67</t>
  </si>
  <si>
    <t>Проведение мероприятий по обеспечению жильем граждан, проживающих в сельской местности</t>
  </si>
  <si>
    <t>1001199</t>
  </si>
  <si>
    <t>1167700</t>
  </si>
  <si>
    <t>8200020</t>
  </si>
  <si>
    <t>Строительство и реконструкция зданий дошкольных образовательных учреждений</t>
  </si>
  <si>
    <t>2800000</t>
  </si>
  <si>
    <t>Реализация мероприятий  федеральной целевой    программы    "Социальное развитие села до 2013 года"</t>
  </si>
  <si>
    <t>2500000</t>
  </si>
  <si>
    <t>-58000</t>
  </si>
  <si>
    <t>-20000</t>
  </si>
  <si>
    <t>-15969,1</t>
  </si>
  <si>
    <t>7208,4</t>
  </si>
  <si>
    <t>Капитальный ремонт общего имущества муниципального жилого фонда</t>
  </si>
  <si>
    <t>-6000</t>
  </si>
  <si>
    <t>6000</t>
  </si>
  <si>
    <t>МЦП "Комплексное благоустройство дворовых территорий Муниципального образования Красноуфимский округ на 2011-2015 год"</t>
  </si>
  <si>
    <t>МЦП 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2012 - 2015 годы"</t>
  </si>
  <si>
    <t>МЦП "Развитие муниципальной службы в МО Красноуфимский округ на 2012-2014 годы"</t>
  </si>
  <si>
    <t xml:space="preserve">Реализация других функций, связанных с обеспечением национальной безопасности и правоохранительной деятельности.
</t>
  </si>
  <si>
    <t xml:space="preserve">Обеспечение первичных мер пожарной безопасности
</t>
  </si>
  <si>
    <t>МЦП "Повышение безопасности дорожного движения на территории МО Красноуфимский округ на период 2012-2016 годы"</t>
  </si>
  <si>
    <t>МЦП "Развитие и обеспечение сохранности сети автомобильных дорог местного значения на территории Муниципального образования Красноуфимский округ на 2012-2016 годы."</t>
  </si>
  <si>
    <t>ОЦП "Развитие транспортного комплекса Свердловской области " на 2011-2016 г.</t>
  </si>
  <si>
    <t xml:space="preserve">ОЦП "Энергосбережение в Свердловской области" на 2011 - 2015 годы"
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</si>
  <si>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годы"</t>
  </si>
  <si>
    <t>ОЦП «Развитие сети дошкольных образовательных учреждений в Свердловской области» на 2010-2014 годы</t>
  </si>
  <si>
    <t>ОЦП "Совершенствование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области" на 2011 - 2015 годы"</t>
  </si>
  <si>
    <t>ОЦП «Развитие образования в Свердловской области» («Наша новая школа») на 2011-2015 годы</t>
  </si>
  <si>
    <t>МЦП "Развитие сети дошкольных образовательных учреждений Муниципального образования Красноуфимский округ на 2012-2014 годы "</t>
  </si>
  <si>
    <t>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</si>
  <si>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МЦП "Развитие физической культуры, спорта и формирование здорового образа жизни населения МО Красноуфимский округ на 2012 - 2015 годы"</t>
  </si>
  <si>
    <t xml:space="preserve">ОЦП "Информационное общество Свердловской области" 2011 - 2015 годы   </t>
  </si>
  <si>
    <t>МЦП "Народосбережение на 2013год"</t>
  </si>
  <si>
    <t>МЦП  "Информатизация МО Красноуфимский округ на 2011-2015 годы"</t>
  </si>
  <si>
    <t>МЦП "Развитие  культуры на территории  Муниципального образования Красноуфимский округ на 2012-2014гг"</t>
  </si>
  <si>
    <t>16122000</t>
  </si>
  <si>
    <t>Реализация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</si>
  <si>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>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</si>
  <si>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5241000</t>
  </si>
  <si>
    <t>5241100</t>
  </si>
  <si>
    <t>Реализация мероприятий государственной программы Российской Федерации «Доступная среда» на 2011 - 2015 годы</t>
  </si>
  <si>
    <t>1009099</t>
  </si>
  <si>
    <t>322000</t>
  </si>
  <si>
    <t>Приложение №3                                                              к постановлению АМО Красноуфимский округ                   от .07.2013 г. №</t>
  </si>
  <si>
    <t>Назачено, руб.</t>
  </si>
  <si>
    <t>Исполнено за 1 полугодие 2013г.</t>
  </si>
  <si>
    <t>в рублях</t>
  </si>
  <si>
    <t>в %</t>
  </si>
  <si>
    <t>Ведомственная структура расходов бюджета МО Красноуфимский округ за 1 полугодие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</si>
</sst>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#,##0.00&quot;р.&quot;"/>
  </numFmts>
  <fonts count="25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53" applyFont="1" applyBorder="1" applyAlignment="1">
      <alignment vertical="top" wrapText="1"/>
      <protection/>
    </xf>
    <xf numFmtId="49" fontId="0" fillId="24" borderId="10" xfId="53" applyNumberFormat="1" applyFont="1" applyFill="1" applyBorder="1" applyAlignment="1">
      <alignment horizontal="center" vertical="top" wrapText="1"/>
      <protection/>
    </xf>
    <xf numFmtId="0" fontId="0" fillId="24" borderId="10" xfId="53" applyFont="1" applyFill="1" applyBorder="1" applyAlignment="1">
      <alignment horizontal="left" vertical="top" wrapText="1"/>
      <protection/>
    </xf>
    <xf numFmtId="49" fontId="0" fillId="24" borderId="10" xfId="0" applyNumberFormat="1" applyFont="1" applyFill="1" applyBorder="1" applyAlignment="1">
      <alignment horizontal="center" vertical="top" wrapText="1"/>
    </xf>
    <xf numFmtId="49" fontId="0" fillId="24" borderId="12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0" fillId="0" borderId="10" xfId="53" applyNumberFormat="1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top" wrapText="1"/>
    </xf>
    <xf numFmtId="49" fontId="0" fillId="0" borderId="10" xfId="53" applyNumberFormat="1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2" fontId="0" fillId="0" borderId="10" xfId="53" applyNumberFormat="1" applyFont="1" applyFill="1" applyBorder="1">
      <alignment/>
      <protection/>
    </xf>
    <xf numFmtId="49" fontId="0" fillId="0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53" applyNumberFormat="1" applyFont="1" applyBorder="1" applyAlignment="1">
      <alignment horizontal="left" vertical="top" wrapText="1"/>
      <protection/>
    </xf>
    <xf numFmtId="49" fontId="0" fillId="24" borderId="10" xfId="53" applyNumberFormat="1" applyFont="1" applyFill="1" applyBorder="1" applyAlignment="1">
      <alignment vertical="top" wrapText="1"/>
      <protection/>
    </xf>
    <xf numFmtId="49" fontId="0" fillId="24" borderId="10" xfId="0" applyNumberFormat="1" applyFont="1" applyFill="1" applyBorder="1" applyAlignment="1">
      <alignment horizontal="center" vertical="top"/>
    </xf>
    <xf numFmtId="0" fontId="0" fillId="0" borderId="10" xfId="53" applyNumberFormat="1" applyFont="1" applyBorder="1" applyAlignment="1">
      <alignment vertical="top" wrapText="1"/>
      <protection/>
    </xf>
    <xf numFmtId="0" fontId="0" fillId="0" borderId="10" xfId="53" applyFont="1" applyFill="1" applyBorder="1" applyAlignment="1">
      <alignment vertical="top" wrapText="1"/>
      <protection/>
    </xf>
    <xf numFmtId="0" fontId="0" fillId="0" borderId="10" xfId="54" applyNumberFormat="1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vertical="top" wrapText="1"/>
      <protection/>
    </xf>
    <xf numFmtId="49" fontId="4" fillId="24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53" applyNumberFormat="1" applyFont="1" applyFill="1" applyBorder="1">
      <alignment/>
      <protection/>
    </xf>
    <xf numFmtId="4" fontId="0" fillId="25" borderId="10" xfId="0" applyNumberFormat="1" applyFont="1" applyFill="1" applyBorder="1" applyAlignment="1">
      <alignment horizontal="right"/>
    </xf>
    <xf numFmtId="4" fontId="0" fillId="0" borderId="10" xfId="53" applyNumberFormat="1" applyFont="1" applyFill="1" applyBorder="1" applyAlignment="1">
      <alignment horizontal="right"/>
      <protection/>
    </xf>
    <xf numFmtId="4" fontId="0" fillId="25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0" fillId="25" borderId="10" xfId="53" applyNumberFormat="1" applyFont="1" applyFill="1" applyBorder="1" applyAlignment="1">
      <alignment vertical="top" wrapText="1"/>
      <protection/>
    </xf>
    <xf numFmtId="49" fontId="0" fillId="25" borderId="10" xfId="0" applyNumberFormat="1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4" fillId="0" borderId="10" xfId="53" applyNumberFormat="1" applyFont="1" applyFill="1" applyBorder="1" applyAlignment="1">
      <alignment horizontal="right"/>
      <protection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" fontId="0" fillId="0" borderId="10" xfId="53" applyNumberFormat="1" applyFont="1" applyFill="1" applyBorder="1" applyAlignment="1">
      <alignment horizontal="center" vertical="top" wrapText="1"/>
      <protection/>
    </xf>
    <xf numFmtId="49" fontId="0" fillId="24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 horizontal="center" vertical="top" wrapText="1"/>
    </xf>
    <xf numFmtId="49" fontId="0" fillId="24" borderId="10" xfId="0" applyNumberFormat="1" applyFill="1" applyBorder="1" applyAlignment="1">
      <alignment horizontal="center" vertical="top"/>
    </xf>
    <xf numFmtId="0" fontId="0" fillId="0" borderId="0" xfId="0" applyFont="1" applyAlignment="1">
      <alignment wrapText="1"/>
    </xf>
    <xf numFmtId="4" fontId="0" fillId="24" borderId="10" xfId="0" applyNumberFormat="1" applyFont="1" applyFill="1" applyBorder="1" applyAlignment="1">
      <alignment horizontal="right"/>
    </xf>
    <xf numFmtId="2" fontId="0" fillId="24" borderId="10" xfId="0" applyNumberFormat="1" applyFill="1" applyBorder="1" applyAlignment="1">
      <alignment horizontal="center"/>
    </xf>
    <xf numFmtId="4" fontId="0" fillId="24" borderId="10" xfId="53" applyNumberFormat="1" applyFont="1" applyFill="1" applyBorder="1" applyAlignment="1">
      <alignment horizontal="center" vertical="top" wrapText="1"/>
      <protection/>
    </xf>
    <xf numFmtId="49" fontId="0" fillId="0" borderId="15" xfId="53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top" wrapText="1"/>
    </xf>
    <xf numFmtId="4" fontId="0" fillId="0" borderId="10" xfId="53" applyNumberFormat="1" applyFont="1" applyFill="1" applyBorder="1">
      <alignment/>
      <protection/>
    </xf>
    <xf numFmtId="49" fontId="0" fillId="24" borderId="15" xfId="53" applyNumberFormat="1" applyFont="1" applyFill="1" applyBorder="1" applyAlignment="1">
      <alignment horizontal="center" vertical="top" wrapText="1"/>
      <protection/>
    </xf>
    <xf numFmtId="0" fontId="0" fillId="24" borderId="10" xfId="53" applyNumberFormat="1" applyFont="1" applyFill="1" applyBorder="1" applyAlignment="1">
      <alignment vertical="top" wrapText="1"/>
      <protection/>
    </xf>
    <xf numFmtId="4" fontId="0" fillId="0" borderId="15" xfId="53" applyNumberFormat="1" applyFont="1" applyFill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top"/>
    </xf>
    <xf numFmtId="4" fontId="0" fillId="0" borderId="15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42" applyFont="1" applyAlignment="1" applyProtection="1">
      <alignment wrapText="1"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0" fillId="0" borderId="10" xfId="53" applyNumberFormat="1" applyFont="1" applyFill="1" applyBorder="1" applyAlignment="1">
      <alignment horizontal="center" vertical="top" wrapText="1"/>
      <protection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53" applyNumberFormat="1" applyFont="1" applyFill="1" applyBorder="1" applyAlignment="1">
      <alignment horizontal="center"/>
      <protection/>
    </xf>
    <xf numFmtId="2" fontId="0" fillId="24" borderId="11" xfId="0" applyNumberFormat="1" applyFont="1" applyFill="1" applyBorder="1" applyAlignment="1">
      <alignment horizontal="center" vertical="top" wrapText="1"/>
    </xf>
    <xf numFmtId="49" fontId="0" fillId="0" borderId="10" xfId="53" applyNumberFormat="1" applyFont="1" applyBorder="1" applyAlignment="1">
      <alignment horizontal="center" vertical="top" wrapText="1"/>
      <protection/>
    </xf>
    <xf numFmtId="49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top"/>
    </xf>
    <xf numFmtId="4" fontId="0" fillId="25" borderId="10" xfId="0" applyNumberFormat="1" applyFont="1" applyFill="1" applyBorder="1" applyAlignment="1">
      <alignment horizontal="center" vertical="top" wrapText="1"/>
    </xf>
    <xf numFmtId="4" fontId="0" fillId="24" borderId="10" xfId="53" applyNumberFormat="1" applyFont="1" applyFill="1" applyBorder="1">
      <alignment/>
      <protection/>
    </xf>
    <xf numFmtId="0" fontId="0" fillId="24" borderId="10" xfId="53" applyFont="1" applyFill="1" applyBorder="1">
      <alignment/>
      <protection/>
    </xf>
    <xf numFmtId="0" fontId="0" fillId="24" borderId="10" xfId="53" applyFont="1" applyFill="1" applyBorder="1" applyAlignment="1">
      <alignment horizontal="center"/>
      <protection/>
    </xf>
    <xf numFmtId="4" fontId="0" fillId="24" borderId="10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/>
    </xf>
    <xf numFmtId="168" fontId="0" fillId="0" borderId="10" xfId="0" applyNumberFormat="1" applyBorder="1" applyAlignment="1">
      <alignment/>
    </xf>
    <xf numFmtId="168" fontId="4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DEB0128DA12F6A991391BB484C27676828F870A827893936F6B74385748C936DB7C0C672286FF87B0AC43AEb9ZE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2"/>
  <sheetViews>
    <sheetView tabSelected="1" zoomScale="75" zoomScaleNormal="75" zoomScalePageLayoutView="0" workbookViewId="0" topLeftCell="A114">
      <selection activeCell="R138" sqref="R138"/>
    </sheetView>
  </sheetViews>
  <sheetFormatPr defaultColWidth="9.00390625" defaultRowHeight="15.75" outlineLevelRow="1"/>
  <cols>
    <col min="1" max="1" width="36.50390625" style="0" customWidth="1"/>
    <col min="2" max="2" width="8.75390625" style="0" customWidth="1"/>
    <col min="4" max="4" width="11.625" style="0" customWidth="1"/>
    <col min="5" max="5" width="6.625" style="0" customWidth="1"/>
    <col min="6" max="6" width="10.50390625" style="27" hidden="1" customWidth="1"/>
    <col min="7" max="7" width="14.25390625" style="0" hidden="1" customWidth="1"/>
    <col min="8" max="8" width="9.50390625" style="27" hidden="1" customWidth="1"/>
    <col min="9" max="9" width="4.00390625" style="0" hidden="1" customWidth="1"/>
    <col min="10" max="10" width="17.00390625" style="27" hidden="1" customWidth="1"/>
    <col min="11" max="11" width="9.125" style="0" hidden="1" customWidth="1"/>
    <col min="12" max="12" width="16.375" style="27" hidden="1" customWidth="1"/>
    <col min="13" max="13" width="12.00390625" style="0" hidden="1" customWidth="1"/>
    <col min="14" max="14" width="14.00390625" style="27" hidden="1" customWidth="1"/>
    <col min="15" max="15" width="19.125" style="0" hidden="1" customWidth="1"/>
    <col min="16" max="16" width="16.25390625" style="27" customWidth="1"/>
    <col min="17" max="17" width="36.375" style="0" hidden="1" customWidth="1"/>
    <col min="18" max="18" width="17.125" style="0" customWidth="1"/>
  </cols>
  <sheetData>
    <row r="1" spans="1:15" ht="3.75" customHeight="1">
      <c r="A1" s="2"/>
      <c r="B1" s="13"/>
      <c r="C1" s="13"/>
      <c r="D1" s="13"/>
      <c r="E1" s="13"/>
      <c r="G1" s="13"/>
      <c r="I1" s="13"/>
      <c r="K1" s="13"/>
      <c r="M1" s="13"/>
      <c r="O1" s="13"/>
    </row>
    <row r="2" spans="1:16" ht="17.25" customHeight="1" hidden="1">
      <c r="A2" s="15" t="s">
        <v>171</v>
      </c>
      <c r="B2" s="13"/>
      <c r="C2" s="13"/>
      <c r="D2" s="124"/>
      <c r="E2" s="125"/>
      <c r="F2"/>
      <c r="H2"/>
      <c r="J2"/>
      <c r="L2"/>
      <c r="N2"/>
      <c r="P2"/>
    </row>
    <row r="3" spans="1:16" ht="18.75" hidden="1">
      <c r="A3" s="15"/>
      <c r="B3" s="17" t="s">
        <v>172</v>
      </c>
      <c r="C3" s="17"/>
      <c r="D3" s="125"/>
      <c r="E3" s="125"/>
      <c r="F3"/>
      <c r="H3"/>
      <c r="J3"/>
      <c r="L3"/>
      <c r="N3"/>
      <c r="P3"/>
    </row>
    <row r="4" spans="1:16" ht="39.75" customHeight="1" hidden="1">
      <c r="A4" s="15"/>
      <c r="B4" s="17"/>
      <c r="C4" s="17"/>
      <c r="D4" s="125"/>
      <c r="E4" s="125"/>
      <c r="F4"/>
      <c r="H4"/>
      <c r="J4"/>
      <c r="L4"/>
      <c r="N4"/>
      <c r="P4"/>
    </row>
    <row r="5" spans="1:16" ht="18.75" customHeight="1" hidden="1">
      <c r="A5" s="15"/>
      <c r="B5" s="17"/>
      <c r="C5" s="17"/>
      <c r="D5" s="125"/>
      <c r="E5" s="125"/>
      <c r="F5"/>
      <c r="H5"/>
      <c r="J5"/>
      <c r="L5"/>
      <c r="N5"/>
      <c r="P5"/>
    </row>
    <row r="6" spans="1:16" ht="74.25" customHeight="1">
      <c r="A6" s="15" t="s">
        <v>135</v>
      </c>
      <c r="B6" s="19" t="s">
        <v>170</v>
      </c>
      <c r="C6" s="19"/>
      <c r="D6" s="126" t="s">
        <v>762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9" ht="20.25" customHeight="1">
      <c r="A7" s="122" t="s">
        <v>767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15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28.5" customHeight="1" hidden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ht="39" customHeight="1">
      <c r="A10" s="127" t="s">
        <v>205</v>
      </c>
      <c r="B10" s="127" t="s">
        <v>1</v>
      </c>
      <c r="C10" s="127" t="s">
        <v>2</v>
      </c>
      <c r="D10" s="127" t="s">
        <v>3</v>
      </c>
      <c r="E10" s="127" t="s">
        <v>4</v>
      </c>
      <c r="F10" s="115"/>
      <c r="G10" s="114"/>
      <c r="H10" s="115"/>
      <c r="I10" s="114"/>
      <c r="J10" s="115"/>
      <c r="K10" s="114"/>
      <c r="L10" s="115"/>
      <c r="M10" s="114"/>
      <c r="N10" s="115"/>
      <c r="O10" s="114"/>
      <c r="P10" s="129" t="s">
        <v>763</v>
      </c>
      <c r="Q10" s="110"/>
      <c r="R10" s="120" t="s">
        <v>764</v>
      </c>
      <c r="S10" s="121"/>
    </row>
    <row r="11" spans="1:19" ht="34.5" customHeight="1">
      <c r="A11" s="128"/>
      <c r="B11" s="128"/>
      <c r="C11" s="128"/>
      <c r="D11" s="128"/>
      <c r="E11" s="128"/>
      <c r="F11" s="112" t="s">
        <v>5</v>
      </c>
      <c r="G11" s="111"/>
      <c r="H11" s="112" t="s">
        <v>5</v>
      </c>
      <c r="I11" s="111"/>
      <c r="J11" s="112" t="s">
        <v>5</v>
      </c>
      <c r="K11" s="111"/>
      <c r="L11" s="112" t="s">
        <v>5</v>
      </c>
      <c r="M11" s="113" t="s">
        <v>658</v>
      </c>
      <c r="N11" s="112" t="s">
        <v>5</v>
      </c>
      <c r="O11" s="113" t="s">
        <v>711</v>
      </c>
      <c r="P11" s="130"/>
      <c r="R11" s="116" t="s">
        <v>765</v>
      </c>
      <c r="S11" s="116" t="s">
        <v>766</v>
      </c>
    </row>
    <row r="12" spans="1:19" ht="36.75" customHeight="1">
      <c r="A12" s="22" t="s">
        <v>245</v>
      </c>
      <c r="B12" s="16">
        <v>901</v>
      </c>
      <c r="C12" s="10"/>
      <c r="D12" s="10"/>
      <c r="E12" s="10"/>
      <c r="F12" s="42" t="e">
        <f>F13+F86+F94+F115++F168+F235+F243+F260+F316</f>
        <v>#REF!</v>
      </c>
      <c r="G12" s="10"/>
      <c r="H12" s="42" t="e">
        <f>H13+H86+H94+H115+H168+H235+H243+H260+H316</f>
        <v>#REF!</v>
      </c>
      <c r="I12" s="10"/>
      <c r="J12" s="42">
        <f>J13+J86+J94+J115++J168+J235+J243+J260+J316</f>
        <v>204673060</v>
      </c>
      <c r="K12" s="10"/>
      <c r="L12" s="42">
        <f>L13+L86+L94+L115++L168+L235+L243+L260+L316</f>
        <v>242437501.5</v>
      </c>
      <c r="M12" s="10"/>
      <c r="N12" s="42">
        <f>N13+N86+N94+N115++N168+N235+N243+N260+N316</f>
        <v>258609890.71999997</v>
      </c>
      <c r="O12" s="10"/>
      <c r="P12" s="42">
        <f>P13+P86+P94+P115++P168+P235+P243+P260+P316</f>
        <v>255478455.72000003</v>
      </c>
      <c r="R12" s="42">
        <f>R13+R86+R94+R115++R168+R235+R243+R260+R316</f>
        <v>72870962.42000002</v>
      </c>
      <c r="S12" s="118">
        <f>R12/P12*100</f>
        <v>28.52332977144082</v>
      </c>
    </row>
    <row r="13" spans="1:19" ht="18" customHeight="1">
      <c r="A13" s="1" t="s">
        <v>136</v>
      </c>
      <c r="B13" s="10">
        <v>901</v>
      </c>
      <c r="C13" s="10" t="s">
        <v>6</v>
      </c>
      <c r="D13" s="10"/>
      <c r="E13" s="10"/>
      <c r="F13" s="45">
        <f>F14+F44+F50+F47</f>
        <v>0</v>
      </c>
      <c r="G13" s="10"/>
      <c r="H13" s="45">
        <f>H14+H44+H50+H47</f>
        <v>52456400</v>
      </c>
      <c r="I13" s="10"/>
      <c r="J13" s="45">
        <f>J14+J44+J50+J47</f>
        <v>52356400</v>
      </c>
      <c r="K13" s="10"/>
      <c r="L13" s="45">
        <f>L14+L44+L50+L47</f>
        <v>52401916</v>
      </c>
      <c r="M13" s="10"/>
      <c r="N13" s="45">
        <f>N14+N44+N50+N47</f>
        <v>52326820.480000004</v>
      </c>
      <c r="O13" s="10"/>
      <c r="P13" s="45">
        <f>P14+P44+P50+P47</f>
        <v>52219612.08</v>
      </c>
      <c r="R13" s="45">
        <f>R14+R44+R50+R47</f>
        <v>21497905.97</v>
      </c>
      <c r="S13" s="117">
        <f aca="true" t="shared" si="0" ref="S13:S76">R13/P13*100</f>
        <v>41.1682605705025</v>
      </c>
    </row>
    <row r="14" spans="1:19" ht="63">
      <c r="A14" s="1" t="s">
        <v>86</v>
      </c>
      <c r="B14" s="10">
        <v>901</v>
      </c>
      <c r="C14" s="10" t="s">
        <v>10</v>
      </c>
      <c r="D14" s="10"/>
      <c r="E14" s="10"/>
      <c r="F14" s="45">
        <f>F15+F42+F37</f>
        <v>0</v>
      </c>
      <c r="G14" s="10"/>
      <c r="H14" s="45">
        <f>H15+H42+H37+H39</f>
        <v>36674900</v>
      </c>
      <c r="I14" s="10"/>
      <c r="J14" s="45">
        <f>J15+J42+J37+J39</f>
        <v>36484900</v>
      </c>
      <c r="K14" s="10"/>
      <c r="L14" s="45">
        <f>L15+L42+L37+L39</f>
        <v>36332222</v>
      </c>
      <c r="M14" s="10"/>
      <c r="N14" s="45">
        <f>N15+N42+N37+N39</f>
        <v>36240322.46</v>
      </c>
      <c r="O14" s="10"/>
      <c r="P14" s="45">
        <f>P15+P42+P37+P39</f>
        <v>36240122.46</v>
      </c>
      <c r="R14" s="45">
        <f>R15+R42+R37+R39</f>
        <v>14193921.479999999</v>
      </c>
      <c r="S14" s="117">
        <f t="shared" si="0"/>
        <v>39.16631765156568</v>
      </c>
    </row>
    <row r="15" spans="1:19" ht="65.25" customHeight="1">
      <c r="A15" s="1" t="s">
        <v>80</v>
      </c>
      <c r="B15" s="10">
        <v>901</v>
      </c>
      <c r="C15" s="10" t="s">
        <v>10</v>
      </c>
      <c r="D15" s="10" t="s">
        <v>81</v>
      </c>
      <c r="E15" s="10"/>
      <c r="F15" s="45">
        <f>F16+F25+F28</f>
        <v>0</v>
      </c>
      <c r="G15" s="10"/>
      <c r="H15" s="45">
        <f>H16+H25+H28</f>
        <v>36557900</v>
      </c>
      <c r="I15" s="10"/>
      <c r="J15" s="45">
        <f>J16+J25+J28</f>
        <v>36367900</v>
      </c>
      <c r="K15" s="10"/>
      <c r="L15" s="45">
        <f>L16+L25+L28</f>
        <v>36215222</v>
      </c>
      <c r="M15" s="10"/>
      <c r="N15" s="45">
        <f>N16+N25+N28</f>
        <v>36123322.46</v>
      </c>
      <c r="O15" s="10"/>
      <c r="P15" s="45">
        <f>P16+P25+P28</f>
        <v>36123122.46</v>
      </c>
      <c r="R15" s="45">
        <f>R16+R25+R28</f>
        <v>14167669.479999999</v>
      </c>
      <c r="S15" s="117">
        <f t="shared" si="0"/>
        <v>39.220500652146555</v>
      </c>
    </row>
    <row r="16" spans="1:19" ht="15.75">
      <c r="A16" s="1" t="s">
        <v>138</v>
      </c>
      <c r="B16" s="10">
        <v>901</v>
      </c>
      <c r="C16" s="10" t="s">
        <v>10</v>
      </c>
      <c r="D16" s="10" t="s">
        <v>85</v>
      </c>
      <c r="E16" s="10"/>
      <c r="F16" s="46">
        <f>F17+F18+F19+F20+F21+F22+F23+F24</f>
        <v>0</v>
      </c>
      <c r="G16" s="10"/>
      <c r="H16" s="46">
        <f>H17+H18+H19+H20+H21+H22+H23+H24</f>
        <v>16051637</v>
      </c>
      <c r="I16" s="10"/>
      <c r="J16" s="46">
        <f>J17+J18+J19+J20+J21+J22+J23+J24</f>
        <v>15861637</v>
      </c>
      <c r="K16" s="10"/>
      <c r="L16" s="46">
        <f>L17+L18+L19+L20+L21+L22+L23+L24</f>
        <v>15742549</v>
      </c>
      <c r="M16" s="10"/>
      <c r="N16" s="46">
        <f>N17+N18+N19+N20+N21+N22+N23+N24</f>
        <v>15732549</v>
      </c>
      <c r="O16" s="10"/>
      <c r="P16" s="46">
        <f>P17+P18+P19+P20+P21+P22+P23+P24</f>
        <v>15732549</v>
      </c>
      <c r="R16" s="46">
        <f>R17+R18+R19+R20+R21+R22+R23+R24</f>
        <v>5723535.33</v>
      </c>
      <c r="S16" s="117">
        <f t="shared" si="0"/>
        <v>36.38021613662224</v>
      </c>
    </row>
    <row r="17" spans="1:19" ht="15.75">
      <c r="A17" s="1" t="s">
        <v>318</v>
      </c>
      <c r="B17" s="30" t="s">
        <v>36</v>
      </c>
      <c r="C17" s="39" t="s">
        <v>10</v>
      </c>
      <c r="D17" s="10" t="s">
        <v>85</v>
      </c>
      <c r="E17" s="10" t="s">
        <v>313</v>
      </c>
      <c r="F17" s="47">
        <v>0</v>
      </c>
      <c r="G17" s="10" t="s">
        <v>441</v>
      </c>
      <c r="H17" s="47">
        <f aca="true" t="shared" si="1" ref="H17:J24">F17+G17</f>
        <v>2233793</v>
      </c>
      <c r="I17" s="10" t="s">
        <v>376</v>
      </c>
      <c r="J17" s="47">
        <f t="shared" si="1"/>
        <v>2233793</v>
      </c>
      <c r="K17" s="10"/>
      <c r="L17" s="47">
        <f aca="true" t="shared" si="2" ref="L17:N24">J17+K17</f>
        <v>2233793</v>
      </c>
      <c r="M17" s="10"/>
      <c r="N17" s="47">
        <f t="shared" si="2"/>
        <v>2233793</v>
      </c>
      <c r="O17" s="10"/>
      <c r="P17" s="47">
        <f aca="true" t="shared" si="3" ref="P17:P24">N17+O17</f>
        <v>2233793</v>
      </c>
      <c r="R17" s="47">
        <v>1007996.51</v>
      </c>
      <c r="S17" s="117">
        <f t="shared" si="0"/>
        <v>45.12488444542534</v>
      </c>
    </row>
    <row r="18" spans="1:19" ht="31.5">
      <c r="A18" s="1" t="s">
        <v>319</v>
      </c>
      <c r="B18" s="30" t="s">
        <v>36</v>
      </c>
      <c r="C18" s="39" t="s">
        <v>10</v>
      </c>
      <c r="D18" s="10" t="s">
        <v>85</v>
      </c>
      <c r="E18" s="10" t="s">
        <v>314</v>
      </c>
      <c r="F18" s="47">
        <v>0</v>
      </c>
      <c r="G18" s="10" t="s">
        <v>442</v>
      </c>
      <c r="H18" s="47">
        <f t="shared" si="1"/>
        <v>1450</v>
      </c>
      <c r="I18" s="10" t="s">
        <v>376</v>
      </c>
      <c r="J18" s="47">
        <f t="shared" si="1"/>
        <v>1450</v>
      </c>
      <c r="K18" s="10"/>
      <c r="L18" s="47">
        <f t="shared" si="2"/>
        <v>1450</v>
      </c>
      <c r="M18" s="10"/>
      <c r="N18" s="47">
        <f t="shared" si="2"/>
        <v>1450</v>
      </c>
      <c r="O18" s="10"/>
      <c r="P18" s="47">
        <f t="shared" si="3"/>
        <v>1450</v>
      </c>
      <c r="R18" s="47">
        <v>575</v>
      </c>
      <c r="S18" s="117">
        <f t="shared" si="0"/>
        <v>39.6551724137931</v>
      </c>
    </row>
    <row r="19" spans="1:19" ht="15.75">
      <c r="A19" s="1" t="s">
        <v>318</v>
      </c>
      <c r="B19" s="30" t="s">
        <v>36</v>
      </c>
      <c r="C19" s="39" t="s">
        <v>10</v>
      </c>
      <c r="D19" s="10" t="s">
        <v>85</v>
      </c>
      <c r="E19" s="10" t="s">
        <v>342</v>
      </c>
      <c r="F19" s="47">
        <v>0</v>
      </c>
      <c r="G19" s="10" t="s">
        <v>443</v>
      </c>
      <c r="H19" s="47">
        <f t="shared" si="1"/>
        <v>9071385</v>
      </c>
      <c r="I19" s="10" t="s">
        <v>376</v>
      </c>
      <c r="J19" s="47">
        <f t="shared" si="1"/>
        <v>9071385</v>
      </c>
      <c r="K19" s="64">
        <f>-85498-33590</f>
        <v>-119088</v>
      </c>
      <c r="L19" s="47">
        <f t="shared" si="2"/>
        <v>8952297</v>
      </c>
      <c r="M19" s="64"/>
      <c r="N19" s="47">
        <f t="shared" si="2"/>
        <v>8952297</v>
      </c>
      <c r="O19" s="64"/>
      <c r="P19" s="47">
        <f t="shared" si="3"/>
        <v>8952297</v>
      </c>
      <c r="R19" s="47">
        <v>3236845.9</v>
      </c>
      <c r="S19" s="117">
        <f t="shared" si="0"/>
        <v>36.15659645786997</v>
      </c>
    </row>
    <row r="20" spans="1:19" ht="31.5">
      <c r="A20" s="1" t="s">
        <v>319</v>
      </c>
      <c r="B20" s="30" t="s">
        <v>36</v>
      </c>
      <c r="C20" s="39" t="s">
        <v>10</v>
      </c>
      <c r="D20" s="10" t="s">
        <v>85</v>
      </c>
      <c r="E20" s="10" t="s">
        <v>348</v>
      </c>
      <c r="F20" s="47">
        <v>0</v>
      </c>
      <c r="G20" s="10" t="s">
        <v>444</v>
      </c>
      <c r="H20" s="47">
        <f t="shared" si="1"/>
        <v>90000</v>
      </c>
      <c r="I20" s="10" t="s">
        <v>376</v>
      </c>
      <c r="J20" s="47">
        <f t="shared" si="1"/>
        <v>90000</v>
      </c>
      <c r="K20" s="10"/>
      <c r="L20" s="47">
        <f t="shared" si="2"/>
        <v>90000</v>
      </c>
      <c r="M20" s="10"/>
      <c r="N20" s="47">
        <f t="shared" si="2"/>
        <v>90000</v>
      </c>
      <c r="O20" s="10"/>
      <c r="P20" s="47">
        <f t="shared" si="3"/>
        <v>90000</v>
      </c>
      <c r="R20" s="47">
        <v>26400</v>
      </c>
      <c r="S20" s="117">
        <f t="shared" si="0"/>
        <v>29.333333333333332</v>
      </c>
    </row>
    <row r="21" spans="1:19" ht="47.25">
      <c r="A21" s="1" t="s">
        <v>320</v>
      </c>
      <c r="B21" s="30" t="s">
        <v>36</v>
      </c>
      <c r="C21" s="39" t="s">
        <v>10</v>
      </c>
      <c r="D21" s="10" t="s">
        <v>85</v>
      </c>
      <c r="E21" s="10" t="s">
        <v>315</v>
      </c>
      <c r="F21" s="47">
        <v>0</v>
      </c>
      <c r="G21" s="10" t="s">
        <v>445</v>
      </c>
      <c r="H21" s="47">
        <f t="shared" si="1"/>
        <v>652206</v>
      </c>
      <c r="I21" s="10" t="s">
        <v>376</v>
      </c>
      <c r="J21" s="47">
        <f t="shared" si="1"/>
        <v>652206</v>
      </c>
      <c r="K21" s="10"/>
      <c r="L21" s="47">
        <f t="shared" si="2"/>
        <v>652206</v>
      </c>
      <c r="M21" s="10" t="s">
        <v>675</v>
      </c>
      <c r="N21" s="47">
        <f t="shared" si="2"/>
        <v>642206</v>
      </c>
      <c r="O21" s="10"/>
      <c r="P21" s="47">
        <f t="shared" si="3"/>
        <v>642206</v>
      </c>
      <c r="R21" s="47">
        <v>248875.92</v>
      </c>
      <c r="S21" s="117">
        <f t="shared" si="0"/>
        <v>38.753284771553055</v>
      </c>
    </row>
    <row r="22" spans="1:19" ht="34.5" customHeight="1">
      <c r="A22" s="1" t="s">
        <v>321</v>
      </c>
      <c r="B22" s="30" t="s">
        <v>36</v>
      </c>
      <c r="C22" s="39" t="s">
        <v>10</v>
      </c>
      <c r="D22" s="10" t="s">
        <v>85</v>
      </c>
      <c r="E22" s="10" t="s">
        <v>316</v>
      </c>
      <c r="F22" s="47">
        <v>0</v>
      </c>
      <c r="G22" s="10" t="s">
        <v>446</v>
      </c>
      <c r="H22" s="47">
        <f t="shared" si="1"/>
        <v>3992666</v>
      </c>
      <c r="I22" s="10" t="s">
        <v>564</v>
      </c>
      <c r="J22" s="47">
        <f t="shared" si="1"/>
        <v>3757666</v>
      </c>
      <c r="K22" s="10"/>
      <c r="L22" s="47">
        <f t="shared" si="2"/>
        <v>3757666</v>
      </c>
      <c r="M22" s="68">
        <f>10000-10000</f>
        <v>0</v>
      </c>
      <c r="N22" s="47">
        <f t="shared" si="2"/>
        <v>3757666</v>
      </c>
      <c r="O22" s="68"/>
      <c r="P22" s="47">
        <f t="shared" si="3"/>
        <v>3757666</v>
      </c>
      <c r="R22" s="47">
        <v>1152942</v>
      </c>
      <c r="S22" s="117">
        <f t="shared" si="0"/>
        <v>30.682396998562407</v>
      </c>
    </row>
    <row r="23" spans="1:19" ht="31.5" customHeight="1">
      <c r="A23" s="1" t="s">
        <v>322</v>
      </c>
      <c r="B23" s="30" t="s">
        <v>36</v>
      </c>
      <c r="C23" s="39" t="s">
        <v>10</v>
      </c>
      <c r="D23" s="10" t="s">
        <v>85</v>
      </c>
      <c r="E23" s="10" t="s">
        <v>317</v>
      </c>
      <c r="F23" s="46">
        <v>0</v>
      </c>
      <c r="G23" s="10" t="s">
        <v>447</v>
      </c>
      <c r="H23" s="46">
        <f t="shared" si="1"/>
        <v>3041</v>
      </c>
      <c r="I23" s="10" t="s">
        <v>565</v>
      </c>
      <c r="J23" s="46">
        <f t="shared" si="1"/>
        <v>48041</v>
      </c>
      <c r="K23" s="10"/>
      <c r="L23" s="46">
        <f t="shared" si="2"/>
        <v>48041</v>
      </c>
      <c r="M23" s="10"/>
      <c r="N23" s="46">
        <f t="shared" si="2"/>
        <v>48041</v>
      </c>
      <c r="O23" s="10"/>
      <c r="P23" s="46">
        <f t="shared" si="3"/>
        <v>48041</v>
      </c>
      <c r="R23" s="46">
        <v>45000</v>
      </c>
      <c r="S23" s="117">
        <f t="shared" si="0"/>
        <v>93.66999021668991</v>
      </c>
    </row>
    <row r="24" spans="1:19" ht="15.75">
      <c r="A24" s="1" t="s">
        <v>327</v>
      </c>
      <c r="B24" s="30" t="s">
        <v>36</v>
      </c>
      <c r="C24" s="39" t="s">
        <v>10</v>
      </c>
      <c r="D24" s="10" t="s">
        <v>85</v>
      </c>
      <c r="E24" s="10" t="s">
        <v>326</v>
      </c>
      <c r="F24" s="47">
        <v>0</v>
      </c>
      <c r="G24" s="10" t="s">
        <v>448</v>
      </c>
      <c r="H24" s="47">
        <f t="shared" si="1"/>
        <v>7096</v>
      </c>
      <c r="I24" s="10" t="s">
        <v>376</v>
      </c>
      <c r="J24" s="47">
        <f t="shared" si="1"/>
        <v>7096</v>
      </c>
      <c r="K24" s="10"/>
      <c r="L24" s="47">
        <f t="shared" si="2"/>
        <v>7096</v>
      </c>
      <c r="M24" s="10"/>
      <c r="N24" s="47">
        <f t="shared" si="2"/>
        <v>7096</v>
      </c>
      <c r="O24" s="10"/>
      <c r="P24" s="47">
        <f t="shared" si="3"/>
        <v>7096</v>
      </c>
      <c r="R24" s="47">
        <v>4900</v>
      </c>
      <c r="S24" s="117">
        <f t="shared" si="0"/>
        <v>69.05298759864712</v>
      </c>
    </row>
    <row r="25" spans="1:19" ht="47.25">
      <c r="A25" s="1" t="s">
        <v>88</v>
      </c>
      <c r="B25" s="10" t="s">
        <v>36</v>
      </c>
      <c r="C25" s="10" t="s">
        <v>10</v>
      </c>
      <c r="D25" s="10" t="s">
        <v>87</v>
      </c>
      <c r="E25" s="10"/>
      <c r="F25" s="46">
        <f>F26+F27</f>
        <v>0</v>
      </c>
      <c r="G25" s="10"/>
      <c r="H25" s="46">
        <f>H26+H27</f>
        <v>969763</v>
      </c>
      <c r="I25" s="10"/>
      <c r="J25" s="46">
        <f>J26+J27</f>
        <v>969763</v>
      </c>
      <c r="K25" s="10"/>
      <c r="L25" s="46">
        <f>L26+L27</f>
        <v>969763</v>
      </c>
      <c r="M25" s="10"/>
      <c r="N25" s="46">
        <f>N26+N27</f>
        <v>894361</v>
      </c>
      <c r="O25" s="10"/>
      <c r="P25" s="46">
        <f>P26+P27</f>
        <v>894361</v>
      </c>
      <c r="R25" s="46">
        <f>R26+R27</f>
        <v>0</v>
      </c>
      <c r="S25" s="117">
        <f t="shared" si="0"/>
        <v>0</v>
      </c>
    </row>
    <row r="26" spans="1:19" ht="15.75">
      <c r="A26" s="1" t="s">
        <v>318</v>
      </c>
      <c r="B26" s="10" t="s">
        <v>36</v>
      </c>
      <c r="C26" s="10" t="s">
        <v>10</v>
      </c>
      <c r="D26" s="10" t="s">
        <v>87</v>
      </c>
      <c r="E26" s="10" t="s">
        <v>342</v>
      </c>
      <c r="F26" s="47">
        <v>0</v>
      </c>
      <c r="G26" s="10" t="s">
        <v>449</v>
      </c>
      <c r="H26" s="47">
        <f>F26+G26</f>
        <v>919763</v>
      </c>
      <c r="I26" s="10" t="s">
        <v>376</v>
      </c>
      <c r="J26" s="47">
        <f>H26+I26</f>
        <v>919763</v>
      </c>
      <c r="K26" s="10"/>
      <c r="L26" s="47">
        <f>J26+K26</f>
        <v>919763</v>
      </c>
      <c r="M26" s="10" t="s">
        <v>696</v>
      </c>
      <c r="N26" s="47">
        <f>L26+M26</f>
        <v>844361</v>
      </c>
      <c r="O26" s="10"/>
      <c r="P26" s="47">
        <f>N26+O26</f>
        <v>844361</v>
      </c>
      <c r="R26" s="47">
        <v>0</v>
      </c>
      <c r="S26" s="117">
        <f t="shared" si="0"/>
        <v>0</v>
      </c>
    </row>
    <row r="27" spans="1:19" ht="34.5" customHeight="1">
      <c r="A27" s="1" t="s">
        <v>319</v>
      </c>
      <c r="B27" s="10" t="s">
        <v>36</v>
      </c>
      <c r="C27" s="10" t="s">
        <v>10</v>
      </c>
      <c r="D27" s="10" t="s">
        <v>87</v>
      </c>
      <c r="E27" s="10" t="s">
        <v>348</v>
      </c>
      <c r="F27" s="47">
        <v>0</v>
      </c>
      <c r="G27" s="10" t="s">
        <v>450</v>
      </c>
      <c r="H27" s="47">
        <f>F27+G27</f>
        <v>50000</v>
      </c>
      <c r="I27" s="10" t="s">
        <v>376</v>
      </c>
      <c r="J27" s="47">
        <f>H27+I27</f>
        <v>50000</v>
      </c>
      <c r="K27" s="10"/>
      <c r="L27" s="47">
        <f>J27+K27</f>
        <v>50000</v>
      </c>
      <c r="M27" s="10"/>
      <c r="N27" s="47">
        <f>L27+M27</f>
        <v>50000</v>
      </c>
      <c r="O27" s="10"/>
      <c r="P27" s="47">
        <f>N27+O27</f>
        <v>50000</v>
      </c>
      <c r="R27" s="47">
        <v>0</v>
      </c>
      <c r="S27" s="117">
        <f t="shared" si="0"/>
        <v>0</v>
      </c>
    </row>
    <row r="28" spans="1:19" ht="17.25" customHeight="1">
      <c r="A28" s="1" t="s">
        <v>139</v>
      </c>
      <c r="B28" s="10">
        <v>901</v>
      </c>
      <c r="C28" s="10" t="s">
        <v>10</v>
      </c>
      <c r="D28" s="10" t="s">
        <v>89</v>
      </c>
      <c r="E28" s="10"/>
      <c r="F28" s="46">
        <f>F29+F30+F31+F32+F33+F34+F35</f>
        <v>0</v>
      </c>
      <c r="G28" s="10"/>
      <c r="H28" s="46">
        <f>H29+H30+H31+H32+H33+H34+H35</f>
        <v>19536500</v>
      </c>
      <c r="I28" s="10"/>
      <c r="J28" s="46">
        <f>J29+J30+J31+J32+J33+J34+J35</f>
        <v>19536500</v>
      </c>
      <c r="K28" s="10"/>
      <c r="L28" s="46">
        <f>L29+L30+L31+L32+L33+L34+L35</f>
        <v>19502910</v>
      </c>
      <c r="M28" s="10"/>
      <c r="N28" s="46">
        <f>N29+N30+N31+N32+N33+N34+N35+N41</f>
        <v>19496412.46</v>
      </c>
      <c r="O28" s="10"/>
      <c r="P28" s="46">
        <f>P29+P30+P31+P32+P33+P34+P35+P41</f>
        <v>19496212.46</v>
      </c>
      <c r="R28" s="46">
        <f>R29+R30+R31+R32+R33+R34+R35+R41</f>
        <v>8444134.149999999</v>
      </c>
      <c r="S28" s="117">
        <f t="shared" si="0"/>
        <v>43.31166459805802</v>
      </c>
    </row>
    <row r="29" spans="1:19" ht="15.75">
      <c r="A29" s="1" t="s">
        <v>318</v>
      </c>
      <c r="B29" s="30" t="s">
        <v>36</v>
      </c>
      <c r="C29" s="39" t="s">
        <v>10</v>
      </c>
      <c r="D29" s="10" t="s">
        <v>89</v>
      </c>
      <c r="E29" s="10" t="s">
        <v>313</v>
      </c>
      <c r="F29" s="47">
        <v>0</v>
      </c>
      <c r="G29" s="10" t="s">
        <v>440</v>
      </c>
      <c r="H29" s="47">
        <f aca="true" t="shared" si="4" ref="H29:J35">F29+G29</f>
        <v>1591415</v>
      </c>
      <c r="I29" s="10" t="s">
        <v>376</v>
      </c>
      <c r="J29" s="47">
        <f t="shared" si="4"/>
        <v>1591415</v>
      </c>
      <c r="K29" s="10"/>
      <c r="L29" s="47">
        <f aca="true" t="shared" si="5" ref="L29:N35">J29+K29</f>
        <v>1591415</v>
      </c>
      <c r="M29" s="10"/>
      <c r="N29" s="47">
        <f t="shared" si="5"/>
        <v>1591415</v>
      </c>
      <c r="O29" s="10"/>
      <c r="P29" s="47">
        <f aca="true" t="shared" si="6" ref="P29:R35">N29+O29</f>
        <v>1591415</v>
      </c>
      <c r="R29" s="47">
        <v>624266.18</v>
      </c>
      <c r="S29" s="117">
        <f t="shared" si="0"/>
        <v>39.22711423481619</v>
      </c>
    </row>
    <row r="30" spans="1:19" ht="15" customHeight="1">
      <c r="A30" s="1" t="s">
        <v>318</v>
      </c>
      <c r="B30" s="30" t="s">
        <v>36</v>
      </c>
      <c r="C30" s="39" t="s">
        <v>10</v>
      </c>
      <c r="D30" s="10" t="s">
        <v>89</v>
      </c>
      <c r="E30" s="10" t="s">
        <v>342</v>
      </c>
      <c r="F30" s="46">
        <v>0</v>
      </c>
      <c r="G30" s="10" t="s">
        <v>548</v>
      </c>
      <c r="H30" s="46">
        <f t="shared" si="4"/>
        <v>11874980</v>
      </c>
      <c r="I30" s="10" t="s">
        <v>376</v>
      </c>
      <c r="J30" s="46">
        <f t="shared" si="4"/>
        <v>11874980</v>
      </c>
      <c r="K30" s="10" t="s">
        <v>588</v>
      </c>
      <c r="L30" s="46">
        <f t="shared" si="5"/>
        <v>11841390</v>
      </c>
      <c r="M30" s="10" t="s">
        <v>677</v>
      </c>
      <c r="N30" s="46">
        <f t="shared" si="5"/>
        <v>11836147.46</v>
      </c>
      <c r="O30" s="10"/>
      <c r="P30" s="46">
        <f t="shared" si="6"/>
        <v>11836147.46</v>
      </c>
      <c r="R30" s="46">
        <v>5376854.81</v>
      </c>
      <c r="S30" s="117">
        <f t="shared" si="0"/>
        <v>45.42740641049769</v>
      </c>
    </row>
    <row r="31" spans="1:19" ht="34.5" customHeight="1" hidden="1">
      <c r="A31" s="1" t="s">
        <v>319</v>
      </c>
      <c r="B31" s="30" t="s">
        <v>36</v>
      </c>
      <c r="C31" s="39" t="s">
        <v>10</v>
      </c>
      <c r="D31" s="10" t="s">
        <v>89</v>
      </c>
      <c r="E31" s="10" t="s">
        <v>348</v>
      </c>
      <c r="F31" s="46">
        <v>0</v>
      </c>
      <c r="G31" s="10" t="s">
        <v>376</v>
      </c>
      <c r="H31" s="46">
        <f t="shared" si="4"/>
        <v>0</v>
      </c>
      <c r="I31" s="10" t="s">
        <v>376</v>
      </c>
      <c r="J31" s="46">
        <f t="shared" si="4"/>
        <v>0</v>
      </c>
      <c r="K31" s="10"/>
      <c r="L31" s="46">
        <f t="shared" si="5"/>
        <v>0</v>
      </c>
      <c r="M31" s="10"/>
      <c r="N31" s="46">
        <f t="shared" si="5"/>
        <v>0</v>
      </c>
      <c r="O31" s="10"/>
      <c r="P31" s="46">
        <f t="shared" si="6"/>
        <v>0</v>
      </c>
      <c r="R31" s="46">
        <f t="shared" si="6"/>
        <v>0</v>
      </c>
      <c r="S31" s="117">
        <v>0</v>
      </c>
    </row>
    <row r="32" spans="1:19" ht="47.25">
      <c r="A32" s="1" t="s">
        <v>320</v>
      </c>
      <c r="B32" s="30" t="s">
        <v>36</v>
      </c>
      <c r="C32" s="39" t="s">
        <v>10</v>
      </c>
      <c r="D32" s="10" t="s">
        <v>89</v>
      </c>
      <c r="E32" s="10" t="s">
        <v>315</v>
      </c>
      <c r="F32" s="46">
        <v>0</v>
      </c>
      <c r="G32" s="68">
        <v>451681</v>
      </c>
      <c r="H32" s="46">
        <f t="shared" si="4"/>
        <v>451681</v>
      </c>
      <c r="I32" s="68">
        <v>0</v>
      </c>
      <c r="J32" s="46">
        <f t="shared" si="4"/>
        <v>451681</v>
      </c>
      <c r="K32" s="68">
        <v>-5038</v>
      </c>
      <c r="L32" s="46">
        <f t="shared" si="5"/>
        <v>446643</v>
      </c>
      <c r="M32" s="68">
        <f>-21695.92+180+6000</f>
        <v>-15515.919999999998</v>
      </c>
      <c r="N32" s="46">
        <f t="shared" si="5"/>
        <v>431127.08</v>
      </c>
      <c r="O32" s="68">
        <f>-3000+1550</f>
        <v>-1450</v>
      </c>
      <c r="P32" s="46">
        <f t="shared" si="6"/>
        <v>429677.08</v>
      </c>
      <c r="R32" s="46">
        <v>156929.37</v>
      </c>
      <c r="S32" s="117">
        <f t="shared" si="0"/>
        <v>36.52262997132637</v>
      </c>
    </row>
    <row r="33" spans="1:19" ht="34.5" customHeight="1">
      <c r="A33" s="1" t="s">
        <v>321</v>
      </c>
      <c r="B33" s="30" t="s">
        <v>36</v>
      </c>
      <c r="C33" s="39" t="s">
        <v>10</v>
      </c>
      <c r="D33" s="10" t="s">
        <v>89</v>
      </c>
      <c r="E33" s="10" t="s">
        <v>316</v>
      </c>
      <c r="F33" s="46">
        <v>0</v>
      </c>
      <c r="G33" s="68">
        <v>5618424</v>
      </c>
      <c r="H33" s="46">
        <f t="shared" si="4"/>
        <v>5618424</v>
      </c>
      <c r="I33" s="68">
        <v>0</v>
      </c>
      <c r="J33" s="46">
        <f t="shared" si="4"/>
        <v>5618424</v>
      </c>
      <c r="K33" s="68">
        <v>5038</v>
      </c>
      <c r="L33" s="46">
        <f t="shared" si="5"/>
        <v>5623462</v>
      </c>
      <c r="M33" s="68">
        <f>32061.92-1780-11621-6000</f>
        <v>12660.919999999998</v>
      </c>
      <c r="N33" s="46">
        <f t="shared" si="5"/>
        <v>5636122.92</v>
      </c>
      <c r="O33" s="68">
        <f>2800-1550</f>
        <v>1250</v>
      </c>
      <c r="P33" s="46">
        <f t="shared" si="6"/>
        <v>5637372.92</v>
      </c>
      <c r="R33" s="46">
        <v>2286083.79</v>
      </c>
      <c r="S33" s="117">
        <f t="shared" si="0"/>
        <v>40.552289558307244</v>
      </c>
    </row>
    <row r="34" spans="1:19" ht="34.5" customHeight="1" hidden="1">
      <c r="A34" s="1" t="s">
        <v>322</v>
      </c>
      <c r="B34" s="30" t="s">
        <v>36</v>
      </c>
      <c r="C34" s="39" t="s">
        <v>10</v>
      </c>
      <c r="D34" s="10" t="s">
        <v>89</v>
      </c>
      <c r="E34" s="10" t="s">
        <v>317</v>
      </c>
      <c r="F34" s="47">
        <v>0</v>
      </c>
      <c r="G34" s="10" t="s">
        <v>376</v>
      </c>
      <c r="H34" s="47">
        <f t="shared" si="4"/>
        <v>0</v>
      </c>
      <c r="I34" s="10" t="s">
        <v>376</v>
      </c>
      <c r="J34" s="47">
        <f t="shared" si="4"/>
        <v>0</v>
      </c>
      <c r="K34" s="10"/>
      <c r="L34" s="47">
        <f t="shared" si="5"/>
        <v>0</v>
      </c>
      <c r="M34" s="10"/>
      <c r="N34" s="47">
        <f t="shared" si="5"/>
        <v>0</v>
      </c>
      <c r="O34" s="10"/>
      <c r="P34" s="47">
        <f t="shared" si="6"/>
        <v>0</v>
      </c>
      <c r="R34" s="47">
        <f t="shared" si="6"/>
        <v>0</v>
      </c>
      <c r="S34" s="117" t="e">
        <f t="shared" si="0"/>
        <v>#DIV/0!</v>
      </c>
    </row>
    <row r="35" spans="1:19" ht="28.5" customHeight="1" hidden="1">
      <c r="A35" s="1" t="s">
        <v>327</v>
      </c>
      <c r="B35" s="30" t="s">
        <v>36</v>
      </c>
      <c r="C35" s="39" t="s">
        <v>10</v>
      </c>
      <c r="D35" s="10" t="s">
        <v>89</v>
      </c>
      <c r="E35" s="10" t="s">
        <v>326</v>
      </c>
      <c r="F35" s="47">
        <v>0</v>
      </c>
      <c r="G35" s="10" t="s">
        <v>376</v>
      </c>
      <c r="H35" s="47">
        <f t="shared" si="4"/>
        <v>0</v>
      </c>
      <c r="I35" s="10" t="s">
        <v>376</v>
      </c>
      <c r="J35" s="47">
        <f t="shared" si="4"/>
        <v>0</v>
      </c>
      <c r="K35" s="10"/>
      <c r="L35" s="47">
        <f t="shared" si="5"/>
        <v>0</v>
      </c>
      <c r="M35" s="10"/>
      <c r="N35" s="47">
        <f t="shared" si="5"/>
        <v>0</v>
      </c>
      <c r="O35" s="10"/>
      <c r="P35" s="47">
        <f t="shared" si="6"/>
        <v>0</v>
      </c>
      <c r="R35" s="47">
        <f t="shared" si="6"/>
        <v>0</v>
      </c>
      <c r="S35" s="117" t="e">
        <f t="shared" si="0"/>
        <v>#DIV/0!</v>
      </c>
    </row>
    <row r="36" spans="1:19" ht="0.75" customHeight="1" hidden="1">
      <c r="A36" s="1"/>
      <c r="B36" s="10"/>
      <c r="C36" s="10"/>
      <c r="D36" s="10"/>
      <c r="E36" s="10"/>
      <c r="F36" s="46"/>
      <c r="G36" s="10"/>
      <c r="H36" s="46"/>
      <c r="I36" s="10"/>
      <c r="J36" s="46"/>
      <c r="K36" s="10"/>
      <c r="L36" s="46"/>
      <c r="M36" s="10"/>
      <c r="N36" s="46"/>
      <c r="O36" s="10"/>
      <c r="P36" s="46"/>
      <c r="R36" s="46"/>
      <c r="S36" s="117" t="e">
        <f t="shared" si="0"/>
        <v>#DIV/0!</v>
      </c>
    </row>
    <row r="37" spans="1:19" ht="15" customHeight="1" hidden="1">
      <c r="A37" s="1" t="s">
        <v>413</v>
      </c>
      <c r="B37" s="10" t="s">
        <v>36</v>
      </c>
      <c r="C37" s="10" t="s">
        <v>10</v>
      </c>
      <c r="D37" s="10" t="s">
        <v>410</v>
      </c>
      <c r="E37" s="10"/>
      <c r="F37" s="46">
        <f>F38</f>
        <v>0</v>
      </c>
      <c r="G37" s="10"/>
      <c r="H37" s="46">
        <f>H38</f>
        <v>0</v>
      </c>
      <c r="I37" s="10"/>
      <c r="J37" s="46">
        <f>J38</f>
        <v>0</v>
      </c>
      <c r="K37" s="10"/>
      <c r="L37" s="46">
        <f>L38</f>
        <v>0</v>
      </c>
      <c r="M37" s="10"/>
      <c r="N37" s="46">
        <f>N38</f>
        <v>0</v>
      </c>
      <c r="O37" s="10"/>
      <c r="P37" s="46">
        <f>P38</f>
        <v>0</v>
      </c>
      <c r="R37" s="46">
        <f>R38</f>
        <v>0</v>
      </c>
      <c r="S37" s="117" t="e">
        <f t="shared" si="0"/>
        <v>#DIV/0!</v>
      </c>
    </row>
    <row r="38" spans="1:19" ht="29.25" customHeight="1" hidden="1">
      <c r="A38" s="1" t="s">
        <v>318</v>
      </c>
      <c r="B38" s="10" t="s">
        <v>36</v>
      </c>
      <c r="C38" s="10" t="s">
        <v>10</v>
      </c>
      <c r="D38" s="10" t="s">
        <v>410</v>
      </c>
      <c r="E38" s="10" t="s">
        <v>313</v>
      </c>
      <c r="F38" s="46">
        <v>0</v>
      </c>
      <c r="G38" s="10"/>
      <c r="H38" s="46">
        <f>F38+G38</f>
        <v>0</v>
      </c>
      <c r="I38" s="10"/>
      <c r="J38" s="46">
        <f>H38+I38</f>
        <v>0</v>
      </c>
      <c r="K38" s="10"/>
      <c r="L38" s="46">
        <f>J38+K38</f>
        <v>0</v>
      </c>
      <c r="M38" s="10"/>
      <c r="N38" s="46">
        <f>L38+M38</f>
        <v>0</v>
      </c>
      <c r="O38" s="10"/>
      <c r="P38" s="46">
        <f>N38+O38</f>
        <v>0</v>
      </c>
      <c r="R38" s="46">
        <f>P38+Q38</f>
        <v>0</v>
      </c>
      <c r="S38" s="117" t="e">
        <f t="shared" si="0"/>
        <v>#DIV/0!</v>
      </c>
    </row>
    <row r="39" spans="1:19" ht="69.75" customHeight="1" hidden="1">
      <c r="A39" s="1" t="s">
        <v>420</v>
      </c>
      <c r="B39" s="10" t="s">
        <v>36</v>
      </c>
      <c r="C39" s="10" t="s">
        <v>10</v>
      </c>
      <c r="D39" s="10" t="s">
        <v>419</v>
      </c>
      <c r="E39" s="10"/>
      <c r="F39" s="46"/>
      <c r="G39" s="10"/>
      <c r="H39" s="46">
        <f>H40</f>
        <v>0</v>
      </c>
      <c r="I39" s="10"/>
      <c r="J39" s="46">
        <f>J40</f>
        <v>0</v>
      </c>
      <c r="K39" s="10"/>
      <c r="L39" s="46">
        <f>L40</f>
        <v>0</v>
      </c>
      <c r="M39" s="10"/>
      <c r="N39" s="46">
        <f>N40</f>
        <v>0</v>
      </c>
      <c r="O39" s="10"/>
      <c r="P39" s="46">
        <f>P40</f>
        <v>0</v>
      </c>
      <c r="R39" s="46">
        <f>R40</f>
        <v>0</v>
      </c>
      <c r="S39" s="117" t="e">
        <f t="shared" si="0"/>
        <v>#DIV/0!</v>
      </c>
    </row>
    <row r="40" spans="1:19" ht="38.25" customHeight="1" hidden="1">
      <c r="A40" s="1" t="s">
        <v>365</v>
      </c>
      <c r="B40" s="10" t="s">
        <v>36</v>
      </c>
      <c r="C40" s="10" t="s">
        <v>10</v>
      </c>
      <c r="D40" s="10" t="s">
        <v>419</v>
      </c>
      <c r="E40" s="10" t="s">
        <v>316</v>
      </c>
      <c r="F40" s="46"/>
      <c r="G40" s="10" t="s">
        <v>376</v>
      </c>
      <c r="H40" s="49">
        <f>F40+G40</f>
        <v>0</v>
      </c>
      <c r="I40" s="10" t="s">
        <v>376</v>
      </c>
      <c r="J40" s="49">
        <f>H40+I40</f>
        <v>0</v>
      </c>
      <c r="K40" s="10"/>
      <c r="L40" s="49">
        <f>J40+K40</f>
        <v>0</v>
      </c>
      <c r="M40" s="10"/>
      <c r="N40" s="49">
        <f>L40+M40</f>
        <v>0</v>
      </c>
      <c r="O40" s="10"/>
      <c r="P40" s="49">
        <f>N40+O40</f>
        <v>0</v>
      </c>
      <c r="R40" s="49">
        <f>P40+Q40</f>
        <v>0</v>
      </c>
      <c r="S40" s="117" t="e">
        <f t="shared" si="0"/>
        <v>#DIV/0!</v>
      </c>
    </row>
    <row r="41" spans="1:19" ht="38.25" customHeight="1">
      <c r="A41" s="3" t="s">
        <v>343</v>
      </c>
      <c r="B41" s="10" t="s">
        <v>36</v>
      </c>
      <c r="C41" s="10" t="s">
        <v>10</v>
      </c>
      <c r="D41" s="10" t="s">
        <v>89</v>
      </c>
      <c r="E41" s="10" t="s">
        <v>317</v>
      </c>
      <c r="F41" s="46"/>
      <c r="G41" s="10"/>
      <c r="H41" s="49"/>
      <c r="I41" s="10"/>
      <c r="J41" s="49"/>
      <c r="K41" s="10"/>
      <c r="L41" s="49"/>
      <c r="M41" s="10" t="s">
        <v>690</v>
      </c>
      <c r="N41" s="46">
        <f>L41+M41</f>
        <v>1600</v>
      </c>
      <c r="O41" s="10"/>
      <c r="P41" s="46">
        <f>N41+O41</f>
        <v>1600</v>
      </c>
      <c r="R41" s="46">
        <v>0</v>
      </c>
      <c r="S41" s="117">
        <f t="shared" si="0"/>
        <v>0</v>
      </c>
    </row>
    <row r="42" spans="1:19" ht="50.25" customHeight="1">
      <c r="A42" s="1" t="s">
        <v>736</v>
      </c>
      <c r="B42" s="10" t="s">
        <v>36</v>
      </c>
      <c r="C42" s="10" t="s">
        <v>10</v>
      </c>
      <c r="D42" s="10" t="s">
        <v>302</v>
      </c>
      <c r="E42" s="10"/>
      <c r="F42" s="46">
        <f>F43</f>
        <v>0</v>
      </c>
      <c r="G42" s="10"/>
      <c r="H42" s="46">
        <f>H43</f>
        <v>117000</v>
      </c>
      <c r="I42" s="10"/>
      <c r="J42" s="46">
        <f>J43</f>
        <v>117000</v>
      </c>
      <c r="K42" s="10"/>
      <c r="L42" s="46">
        <f>L43</f>
        <v>117000</v>
      </c>
      <c r="M42" s="10"/>
      <c r="N42" s="46">
        <f>N43</f>
        <v>117000</v>
      </c>
      <c r="O42" s="10"/>
      <c r="P42" s="46">
        <f>P43</f>
        <v>117000</v>
      </c>
      <c r="R42" s="46">
        <f>R43</f>
        <v>26252</v>
      </c>
      <c r="S42" s="117">
        <f t="shared" si="0"/>
        <v>22.43760683760684</v>
      </c>
    </row>
    <row r="43" spans="1:19" ht="18" customHeight="1">
      <c r="A43" s="1" t="s">
        <v>327</v>
      </c>
      <c r="B43" s="10" t="s">
        <v>36</v>
      </c>
      <c r="C43" s="10" t="s">
        <v>10</v>
      </c>
      <c r="D43" s="10" t="s">
        <v>302</v>
      </c>
      <c r="E43" s="10" t="s">
        <v>326</v>
      </c>
      <c r="F43" s="46">
        <v>0</v>
      </c>
      <c r="G43" s="10" t="s">
        <v>452</v>
      </c>
      <c r="H43" s="46">
        <f>F43+G43</f>
        <v>117000</v>
      </c>
      <c r="I43" s="10" t="s">
        <v>376</v>
      </c>
      <c r="J43" s="46">
        <f>H43+I43</f>
        <v>117000</v>
      </c>
      <c r="K43" s="10"/>
      <c r="L43" s="46">
        <f>J43+K43</f>
        <v>117000</v>
      </c>
      <c r="M43" s="10"/>
      <c r="N43" s="46">
        <f>L43+M43</f>
        <v>117000</v>
      </c>
      <c r="O43" s="10"/>
      <c r="P43" s="46">
        <f>N43+O43</f>
        <v>117000</v>
      </c>
      <c r="R43" s="46">
        <v>26252</v>
      </c>
      <c r="S43" s="117">
        <f t="shared" si="0"/>
        <v>22.43760683760684</v>
      </c>
    </row>
    <row r="44" spans="1:19" ht="0.75" customHeight="1" hidden="1" outlineLevel="1">
      <c r="A44" s="1" t="s">
        <v>182</v>
      </c>
      <c r="B44" s="10" t="s">
        <v>36</v>
      </c>
      <c r="C44" s="10" t="s">
        <v>184</v>
      </c>
      <c r="D44" s="10"/>
      <c r="E44" s="10"/>
      <c r="F44" s="46">
        <f>F45</f>
        <v>0</v>
      </c>
      <c r="G44" s="10"/>
      <c r="H44" s="46">
        <f>H45</f>
        <v>0</v>
      </c>
      <c r="I44" s="10"/>
      <c r="J44" s="46">
        <f>J45</f>
        <v>0</v>
      </c>
      <c r="K44" s="10"/>
      <c r="L44" s="46">
        <f>L45</f>
        <v>0</v>
      </c>
      <c r="M44" s="10"/>
      <c r="N44" s="46">
        <f>N45</f>
        <v>0</v>
      </c>
      <c r="O44" s="10"/>
      <c r="P44" s="46">
        <f>P45</f>
        <v>0</v>
      </c>
      <c r="R44" s="46">
        <f>R45</f>
        <v>0</v>
      </c>
      <c r="S44" s="117" t="e">
        <f t="shared" si="0"/>
        <v>#DIV/0!</v>
      </c>
    </row>
    <row r="45" spans="1:19" ht="62.25" customHeight="1" hidden="1" outlineLevel="1">
      <c r="A45" s="1" t="s">
        <v>183</v>
      </c>
      <c r="B45" s="10" t="s">
        <v>36</v>
      </c>
      <c r="C45" s="10" t="s">
        <v>184</v>
      </c>
      <c r="D45" s="10" t="s">
        <v>185</v>
      </c>
      <c r="E45" s="10"/>
      <c r="F45" s="46">
        <f>F46</f>
        <v>0</v>
      </c>
      <c r="G45" s="10"/>
      <c r="H45" s="46">
        <f>H46</f>
        <v>0</v>
      </c>
      <c r="I45" s="10"/>
      <c r="J45" s="46">
        <f>J46</f>
        <v>0</v>
      </c>
      <c r="K45" s="10"/>
      <c r="L45" s="46">
        <f>L46</f>
        <v>0</v>
      </c>
      <c r="M45" s="10"/>
      <c r="N45" s="46">
        <f>N46</f>
        <v>0</v>
      </c>
      <c r="O45" s="10"/>
      <c r="P45" s="46">
        <f>P46</f>
        <v>0</v>
      </c>
      <c r="R45" s="46">
        <f>R46</f>
        <v>0</v>
      </c>
      <c r="S45" s="117" t="e">
        <f t="shared" si="0"/>
        <v>#DIV/0!</v>
      </c>
    </row>
    <row r="46" spans="1:19" ht="31.5" hidden="1" outlineLevel="1">
      <c r="A46" s="59" t="s">
        <v>321</v>
      </c>
      <c r="B46" s="10" t="s">
        <v>36</v>
      </c>
      <c r="C46" s="10" t="s">
        <v>184</v>
      </c>
      <c r="D46" s="10" t="s">
        <v>185</v>
      </c>
      <c r="E46" s="10" t="s">
        <v>316</v>
      </c>
      <c r="F46" s="46">
        <v>0</v>
      </c>
      <c r="G46" s="10"/>
      <c r="H46" s="46">
        <f>F46+G46</f>
        <v>0</v>
      </c>
      <c r="I46" s="10"/>
      <c r="J46" s="46">
        <f>H46+I46</f>
        <v>0</v>
      </c>
      <c r="K46" s="10"/>
      <c r="L46" s="46">
        <f>J46+K46</f>
        <v>0</v>
      </c>
      <c r="M46" s="10"/>
      <c r="N46" s="46">
        <f>L46+M46</f>
        <v>0</v>
      </c>
      <c r="O46" s="10"/>
      <c r="P46" s="46">
        <f>N46+O46</f>
        <v>0</v>
      </c>
      <c r="R46" s="46">
        <f>P46+Q46</f>
        <v>0</v>
      </c>
      <c r="S46" s="117" t="e">
        <f t="shared" si="0"/>
        <v>#DIV/0!</v>
      </c>
    </row>
    <row r="47" spans="1:19" ht="18" customHeight="1" outlineLevel="1">
      <c r="A47" s="25" t="s">
        <v>305</v>
      </c>
      <c r="B47" s="39" t="s">
        <v>36</v>
      </c>
      <c r="C47" s="39" t="s">
        <v>93</v>
      </c>
      <c r="D47" s="39"/>
      <c r="E47" s="57"/>
      <c r="F47" s="47">
        <f>F48</f>
        <v>0</v>
      </c>
      <c r="G47" s="57"/>
      <c r="H47" s="47">
        <f>H48</f>
        <v>400000</v>
      </c>
      <c r="I47" s="57"/>
      <c r="J47" s="47">
        <f>J48</f>
        <v>400000</v>
      </c>
      <c r="K47" s="57"/>
      <c r="L47" s="47">
        <f>L48</f>
        <v>200000</v>
      </c>
      <c r="M47" s="57"/>
      <c r="N47" s="47">
        <f>N48</f>
        <v>200000</v>
      </c>
      <c r="O47" s="57"/>
      <c r="P47" s="47">
        <f>P48</f>
        <v>200000</v>
      </c>
      <c r="R47" s="47">
        <f>R48</f>
        <v>0</v>
      </c>
      <c r="S47" s="117">
        <f t="shared" si="0"/>
        <v>0</v>
      </c>
    </row>
    <row r="48" spans="1:19" ht="15.75" customHeight="1" outlineLevel="1">
      <c r="A48" s="35" t="s">
        <v>303</v>
      </c>
      <c r="B48" s="29" t="s">
        <v>36</v>
      </c>
      <c r="C48" s="29" t="s">
        <v>93</v>
      </c>
      <c r="D48" s="29" t="s">
        <v>304</v>
      </c>
      <c r="E48" s="29"/>
      <c r="F48" s="49">
        <f>F49</f>
        <v>0</v>
      </c>
      <c r="G48" s="29"/>
      <c r="H48" s="49">
        <f>H49</f>
        <v>400000</v>
      </c>
      <c r="I48" s="29"/>
      <c r="J48" s="49">
        <f>J49</f>
        <v>400000</v>
      </c>
      <c r="K48" s="29"/>
      <c r="L48" s="49">
        <f>L49</f>
        <v>200000</v>
      </c>
      <c r="M48" s="29"/>
      <c r="N48" s="49">
        <f>N49</f>
        <v>200000</v>
      </c>
      <c r="O48" s="29"/>
      <c r="P48" s="49">
        <f>P49</f>
        <v>200000</v>
      </c>
      <c r="R48" s="49">
        <f>R49</f>
        <v>0</v>
      </c>
      <c r="S48" s="117">
        <f t="shared" si="0"/>
        <v>0</v>
      </c>
    </row>
    <row r="49" spans="1:19" ht="18" customHeight="1" outlineLevel="1">
      <c r="A49" s="25" t="s">
        <v>305</v>
      </c>
      <c r="B49" s="29" t="s">
        <v>36</v>
      </c>
      <c r="C49" s="29" t="s">
        <v>93</v>
      </c>
      <c r="D49" s="29" t="s">
        <v>304</v>
      </c>
      <c r="E49" s="29" t="s">
        <v>350</v>
      </c>
      <c r="F49" s="49">
        <v>0</v>
      </c>
      <c r="G49" s="29" t="s">
        <v>435</v>
      </c>
      <c r="H49" s="49">
        <f>F49+G49</f>
        <v>400000</v>
      </c>
      <c r="I49" s="29" t="s">
        <v>376</v>
      </c>
      <c r="J49" s="49">
        <f>H49+I49</f>
        <v>400000</v>
      </c>
      <c r="K49" s="29" t="s">
        <v>652</v>
      </c>
      <c r="L49" s="49">
        <f>J49+K49</f>
        <v>200000</v>
      </c>
      <c r="M49" s="29" t="s">
        <v>376</v>
      </c>
      <c r="N49" s="49">
        <f>L49+M49</f>
        <v>200000</v>
      </c>
      <c r="O49" s="29"/>
      <c r="P49" s="49">
        <f>N49+O49</f>
        <v>200000</v>
      </c>
      <c r="R49" s="49">
        <v>0</v>
      </c>
      <c r="S49" s="117">
        <f t="shared" si="0"/>
        <v>0</v>
      </c>
    </row>
    <row r="50" spans="1:19" ht="15.75">
      <c r="A50" s="1" t="s">
        <v>141</v>
      </c>
      <c r="B50" s="10">
        <v>901</v>
      </c>
      <c r="C50" s="10" t="s">
        <v>216</v>
      </c>
      <c r="D50" s="10"/>
      <c r="E50" s="10"/>
      <c r="F50" s="45">
        <f>F51+F53+F73+F83+F76+F79</f>
        <v>0</v>
      </c>
      <c r="G50" s="10"/>
      <c r="H50" s="45">
        <f>H51+H53+H73+H83+H76+H79</f>
        <v>15381500</v>
      </c>
      <c r="I50" s="10"/>
      <c r="J50" s="45">
        <f>J51+J53+J73+J83+J76+J79</f>
        <v>15471500</v>
      </c>
      <c r="K50" s="10"/>
      <c r="L50" s="45">
        <f>L51+L53+L73+L83+L76+L79</f>
        <v>15869694</v>
      </c>
      <c r="M50" s="10"/>
      <c r="N50" s="45">
        <f>N51+N53+N73+N83+N76+N79</f>
        <v>15886498.020000001</v>
      </c>
      <c r="O50" s="10"/>
      <c r="P50" s="45">
        <f>P51+P53+P73+P83+P76+P79</f>
        <v>15779489.620000001</v>
      </c>
      <c r="R50" s="45">
        <f>R51+R53+R73+R83+R76+R79</f>
        <v>7303984.49</v>
      </c>
      <c r="S50" s="117">
        <f t="shared" si="0"/>
        <v>46.28783735021716</v>
      </c>
    </row>
    <row r="51" spans="1:19" ht="21.75" customHeight="1" hidden="1">
      <c r="A51" s="35" t="s">
        <v>303</v>
      </c>
      <c r="B51" s="30" t="s">
        <v>36</v>
      </c>
      <c r="C51" s="10" t="s">
        <v>216</v>
      </c>
      <c r="D51" s="10" t="s">
        <v>304</v>
      </c>
      <c r="E51" s="10"/>
      <c r="F51" s="47">
        <f>F52</f>
        <v>0</v>
      </c>
      <c r="G51" s="10"/>
      <c r="H51" s="47">
        <f>H52</f>
        <v>0</v>
      </c>
      <c r="I51" s="10"/>
      <c r="J51" s="47">
        <f>J52</f>
        <v>0</v>
      </c>
      <c r="K51" s="10"/>
      <c r="L51" s="47">
        <f>L52</f>
        <v>0</v>
      </c>
      <c r="M51" s="10"/>
      <c r="N51" s="47">
        <f>N52</f>
        <v>0</v>
      </c>
      <c r="O51" s="10"/>
      <c r="P51" s="47">
        <f>P52</f>
        <v>0</v>
      </c>
      <c r="R51" s="47">
        <f>R52</f>
        <v>0</v>
      </c>
      <c r="S51" s="117" t="e">
        <f t="shared" si="0"/>
        <v>#DIV/0!</v>
      </c>
    </row>
    <row r="52" spans="1:19" ht="23.25" customHeight="1" hidden="1">
      <c r="A52" s="1" t="s">
        <v>327</v>
      </c>
      <c r="B52" s="30" t="s">
        <v>36</v>
      </c>
      <c r="C52" s="10" t="s">
        <v>216</v>
      </c>
      <c r="D52" s="10" t="s">
        <v>304</v>
      </c>
      <c r="E52" s="10" t="s">
        <v>326</v>
      </c>
      <c r="F52" s="47">
        <v>0</v>
      </c>
      <c r="G52" s="10" t="s">
        <v>376</v>
      </c>
      <c r="H52" s="47">
        <f>F52+G52</f>
        <v>0</v>
      </c>
      <c r="I52" s="10" t="s">
        <v>376</v>
      </c>
      <c r="J52" s="47">
        <f>H52+I52</f>
        <v>0</v>
      </c>
      <c r="K52" s="10"/>
      <c r="L52" s="47">
        <f>J52+K52</f>
        <v>0</v>
      </c>
      <c r="M52" s="10"/>
      <c r="N52" s="47">
        <f>L52+M52</f>
        <v>0</v>
      </c>
      <c r="O52" s="10"/>
      <c r="P52" s="47">
        <f>N52+O52</f>
        <v>0</v>
      </c>
      <c r="R52" s="47">
        <f>P52+Q52</f>
        <v>0</v>
      </c>
      <c r="S52" s="117" t="e">
        <f t="shared" si="0"/>
        <v>#DIV/0!</v>
      </c>
    </row>
    <row r="53" spans="1:19" ht="63" customHeight="1">
      <c r="A53" s="1" t="s">
        <v>109</v>
      </c>
      <c r="B53" s="10" t="s">
        <v>36</v>
      </c>
      <c r="C53" s="10" t="s">
        <v>216</v>
      </c>
      <c r="D53" s="10" t="s">
        <v>13</v>
      </c>
      <c r="E53" s="10"/>
      <c r="F53" s="45">
        <f>F57+F68+F54</f>
        <v>0</v>
      </c>
      <c r="G53" s="10"/>
      <c r="H53" s="45">
        <f>H57+H68+H54</f>
        <v>14886000</v>
      </c>
      <c r="I53" s="10"/>
      <c r="J53" s="45">
        <f>J57+J68+J54</f>
        <v>14976000</v>
      </c>
      <c r="K53" s="10"/>
      <c r="L53" s="45">
        <f>L57+L68+L54</f>
        <v>15374194</v>
      </c>
      <c r="M53" s="10"/>
      <c r="N53" s="45">
        <f>N57+N68+N54</f>
        <v>15390998.020000001</v>
      </c>
      <c r="O53" s="10"/>
      <c r="P53" s="45">
        <f>P57+P68+P54</f>
        <v>15383989.620000001</v>
      </c>
      <c r="R53" s="45">
        <f>R57+R68+R54</f>
        <v>7275752.640000001</v>
      </c>
      <c r="S53" s="117">
        <f t="shared" si="0"/>
        <v>47.29431584210859</v>
      </c>
    </row>
    <row r="54" spans="1:19" ht="47.25">
      <c r="A54" s="1" t="s">
        <v>395</v>
      </c>
      <c r="B54" s="10" t="s">
        <v>36</v>
      </c>
      <c r="C54" s="10" t="s">
        <v>216</v>
      </c>
      <c r="D54" s="10" t="s">
        <v>396</v>
      </c>
      <c r="E54" s="10"/>
      <c r="F54" s="45">
        <f>F55+F56</f>
        <v>0</v>
      </c>
      <c r="G54" s="10"/>
      <c r="H54" s="45">
        <f>H55+H56</f>
        <v>208000</v>
      </c>
      <c r="I54" s="10"/>
      <c r="J54" s="45">
        <f>J55+J56</f>
        <v>208000</v>
      </c>
      <c r="K54" s="10"/>
      <c r="L54" s="45">
        <f>L55+L56</f>
        <v>208000</v>
      </c>
      <c r="M54" s="10"/>
      <c r="N54" s="45">
        <f>N55+N56</f>
        <v>208000</v>
      </c>
      <c r="O54" s="10"/>
      <c r="P54" s="45">
        <f>P55+P56</f>
        <v>208000</v>
      </c>
      <c r="R54" s="45">
        <f>R55+R56</f>
        <v>73835</v>
      </c>
      <c r="S54" s="117">
        <f t="shared" si="0"/>
        <v>35.49759615384615</v>
      </c>
    </row>
    <row r="55" spans="1:19" ht="0.75" customHeight="1" hidden="1">
      <c r="A55" s="66" t="s">
        <v>324</v>
      </c>
      <c r="B55" s="10" t="s">
        <v>36</v>
      </c>
      <c r="C55" s="10" t="s">
        <v>216</v>
      </c>
      <c r="D55" s="10" t="s">
        <v>396</v>
      </c>
      <c r="E55" s="10" t="s">
        <v>325</v>
      </c>
      <c r="F55" s="45">
        <v>0</v>
      </c>
      <c r="G55" s="10"/>
      <c r="H55" s="45">
        <f>F55+G55</f>
        <v>0</v>
      </c>
      <c r="I55" s="10"/>
      <c r="J55" s="45">
        <f>H55+I55</f>
        <v>0</v>
      </c>
      <c r="K55" s="10"/>
      <c r="L55" s="45">
        <f>J55+K55</f>
        <v>0</v>
      </c>
      <c r="M55" s="10"/>
      <c r="N55" s="45">
        <f>L55+M55</f>
        <v>0</v>
      </c>
      <c r="O55" s="10"/>
      <c r="P55" s="45">
        <f>N55+O55</f>
        <v>0</v>
      </c>
      <c r="R55" s="45">
        <f>P55+Q55</f>
        <v>0</v>
      </c>
      <c r="S55" s="117" t="e">
        <f t="shared" si="0"/>
        <v>#DIV/0!</v>
      </c>
    </row>
    <row r="56" spans="1:19" ht="31.5">
      <c r="A56" s="1" t="s">
        <v>365</v>
      </c>
      <c r="B56" s="10" t="s">
        <v>36</v>
      </c>
      <c r="C56" s="10" t="s">
        <v>216</v>
      </c>
      <c r="D56" s="10" t="s">
        <v>396</v>
      </c>
      <c r="E56" s="10" t="s">
        <v>316</v>
      </c>
      <c r="F56" s="45">
        <v>0</v>
      </c>
      <c r="G56" s="10" t="s">
        <v>509</v>
      </c>
      <c r="H56" s="45">
        <f>F56+G56</f>
        <v>208000</v>
      </c>
      <c r="I56" s="10" t="s">
        <v>376</v>
      </c>
      <c r="J56" s="45">
        <f>H56+I56</f>
        <v>208000</v>
      </c>
      <c r="K56" s="10"/>
      <c r="L56" s="45">
        <f>J56+K56</f>
        <v>208000</v>
      </c>
      <c r="M56" s="10"/>
      <c r="N56" s="45">
        <f>L56+M56</f>
        <v>208000</v>
      </c>
      <c r="O56" s="10"/>
      <c r="P56" s="45">
        <f>N56+O56</f>
        <v>208000</v>
      </c>
      <c r="R56" s="45">
        <v>73835</v>
      </c>
      <c r="S56" s="117">
        <f t="shared" si="0"/>
        <v>35.49759615384615</v>
      </c>
    </row>
    <row r="57" spans="1:19" ht="51" customHeight="1">
      <c r="A57" s="1" t="s">
        <v>95</v>
      </c>
      <c r="B57" s="10" t="s">
        <v>36</v>
      </c>
      <c r="C57" s="10" t="s">
        <v>216</v>
      </c>
      <c r="D57" s="10" t="s">
        <v>14</v>
      </c>
      <c r="E57" s="10"/>
      <c r="F57" s="45">
        <f>F58</f>
        <v>0</v>
      </c>
      <c r="G57" s="10"/>
      <c r="H57" s="45">
        <f>H58</f>
        <v>804000</v>
      </c>
      <c r="I57" s="10"/>
      <c r="J57" s="45">
        <f>J58</f>
        <v>894000</v>
      </c>
      <c r="K57" s="10"/>
      <c r="L57" s="45">
        <f>L58</f>
        <v>1292194</v>
      </c>
      <c r="M57" s="10"/>
      <c r="N57" s="45">
        <f>N58</f>
        <v>1290879.48</v>
      </c>
      <c r="O57" s="10"/>
      <c r="P57" s="45">
        <f>P58</f>
        <v>1283871.08</v>
      </c>
      <c r="R57" s="45">
        <f>R58</f>
        <v>1093554.42</v>
      </c>
      <c r="S57" s="117">
        <f t="shared" si="0"/>
        <v>85.17634184890277</v>
      </c>
    </row>
    <row r="58" spans="1:19" ht="31.5">
      <c r="A58" s="5" t="s">
        <v>142</v>
      </c>
      <c r="B58" s="12">
        <v>901</v>
      </c>
      <c r="C58" s="10" t="s">
        <v>216</v>
      </c>
      <c r="D58" s="12" t="s">
        <v>96</v>
      </c>
      <c r="E58" s="12"/>
      <c r="F58" s="46">
        <f>F61</f>
        <v>0</v>
      </c>
      <c r="G58" s="12"/>
      <c r="H58" s="46">
        <f>H61+H59</f>
        <v>804000</v>
      </c>
      <c r="I58" s="12"/>
      <c r="J58" s="46">
        <f>J61+J59</f>
        <v>894000</v>
      </c>
      <c r="K58" s="12"/>
      <c r="L58" s="46">
        <f>L61+L59</f>
        <v>1292194</v>
      </c>
      <c r="M58" s="12"/>
      <c r="N58" s="46">
        <f>N61+N59</f>
        <v>1290879.48</v>
      </c>
      <c r="O58" s="12"/>
      <c r="P58" s="46">
        <f>P61+P59</f>
        <v>1283871.08</v>
      </c>
      <c r="R58" s="46">
        <f>R61+R59</f>
        <v>1093554.42</v>
      </c>
      <c r="S58" s="117">
        <f t="shared" si="0"/>
        <v>85.17634184890277</v>
      </c>
    </row>
    <row r="59" spans="1:19" ht="15.75" customHeight="1" hidden="1">
      <c r="A59" s="24" t="s">
        <v>517</v>
      </c>
      <c r="B59" s="30" t="s">
        <v>36</v>
      </c>
      <c r="C59" s="10" t="s">
        <v>216</v>
      </c>
      <c r="D59" s="30" t="s">
        <v>215</v>
      </c>
      <c r="E59" s="30"/>
      <c r="F59" s="47"/>
      <c r="G59" s="30"/>
      <c r="H59" s="47">
        <f>H60</f>
        <v>0</v>
      </c>
      <c r="I59" s="30"/>
      <c r="J59" s="47">
        <f>J60</f>
        <v>0</v>
      </c>
      <c r="K59" s="30"/>
      <c r="L59" s="47">
        <f>L60</f>
        <v>0</v>
      </c>
      <c r="M59" s="30"/>
      <c r="N59" s="47">
        <f>N60</f>
        <v>0</v>
      </c>
      <c r="O59" s="30"/>
      <c r="P59" s="47">
        <f>P60</f>
        <v>0</v>
      </c>
      <c r="R59" s="47">
        <f>R60</f>
        <v>0</v>
      </c>
      <c r="S59" s="117" t="e">
        <f t="shared" si="0"/>
        <v>#DIV/0!</v>
      </c>
    </row>
    <row r="60" spans="1:19" ht="18" customHeight="1" hidden="1">
      <c r="A60" s="24" t="s">
        <v>516</v>
      </c>
      <c r="B60" s="30" t="s">
        <v>36</v>
      </c>
      <c r="C60" s="10" t="s">
        <v>216</v>
      </c>
      <c r="D60" s="30" t="s">
        <v>215</v>
      </c>
      <c r="E60" s="30" t="s">
        <v>515</v>
      </c>
      <c r="F60" s="47"/>
      <c r="G60" s="30" t="s">
        <v>518</v>
      </c>
      <c r="H60" s="47">
        <v>0</v>
      </c>
      <c r="I60" s="30" t="s">
        <v>376</v>
      </c>
      <c r="J60" s="47"/>
      <c r="K60" s="30"/>
      <c r="L60" s="47"/>
      <c r="M60" s="30"/>
      <c r="N60" s="47"/>
      <c r="O60" s="30"/>
      <c r="P60" s="47"/>
      <c r="R60" s="47"/>
      <c r="S60" s="117" t="e">
        <f t="shared" si="0"/>
        <v>#DIV/0!</v>
      </c>
    </row>
    <row r="61" spans="1:19" ht="33.75" customHeight="1">
      <c r="A61" s="1" t="s">
        <v>168</v>
      </c>
      <c r="B61" s="10" t="s">
        <v>36</v>
      </c>
      <c r="C61" s="10" t="s">
        <v>216</v>
      </c>
      <c r="D61" s="10" t="s">
        <v>169</v>
      </c>
      <c r="E61" s="10"/>
      <c r="F61" s="45">
        <f>F65+F63+F67+F62</f>
        <v>0</v>
      </c>
      <c r="G61" s="10"/>
      <c r="H61" s="45">
        <f>H65+H63+H67+H62</f>
        <v>804000</v>
      </c>
      <c r="I61" s="10"/>
      <c r="J61" s="45">
        <f>J65+J63+J67+J62+J64</f>
        <v>894000</v>
      </c>
      <c r="K61" s="10"/>
      <c r="L61" s="45">
        <f>L65+L63+L67+L62+L64</f>
        <v>1292194</v>
      </c>
      <c r="M61" s="10"/>
      <c r="N61" s="45">
        <f>N65+N63+N67+N62+N64+N66</f>
        <v>1290879.48</v>
      </c>
      <c r="O61" s="10"/>
      <c r="P61" s="45">
        <f>P65+P63+P67+P62+P64+P66</f>
        <v>1283871.08</v>
      </c>
      <c r="R61" s="45">
        <f>R65+R63+R67+R62+R64+R66</f>
        <v>1093554.42</v>
      </c>
      <c r="S61" s="117">
        <f t="shared" si="0"/>
        <v>85.17634184890277</v>
      </c>
    </row>
    <row r="62" spans="1:19" ht="37.5" customHeight="1" hidden="1">
      <c r="A62" s="1" t="s">
        <v>319</v>
      </c>
      <c r="B62" s="30" t="s">
        <v>36</v>
      </c>
      <c r="C62" s="39" t="s">
        <v>216</v>
      </c>
      <c r="D62" s="30" t="s">
        <v>169</v>
      </c>
      <c r="E62" s="30" t="s">
        <v>348</v>
      </c>
      <c r="F62" s="45">
        <v>0</v>
      </c>
      <c r="G62" s="10" t="s">
        <v>376</v>
      </c>
      <c r="H62" s="45">
        <f>F62+G62</f>
        <v>0</v>
      </c>
      <c r="I62" s="10" t="s">
        <v>376</v>
      </c>
      <c r="J62" s="45">
        <f>H62+I62</f>
        <v>0</v>
      </c>
      <c r="K62" s="10"/>
      <c r="L62" s="45">
        <f>J62+K62</f>
        <v>0</v>
      </c>
      <c r="M62" s="10"/>
      <c r="N62" s="45">
        <f aca="true" t="shared" si="7" ref="N62:N67">L62+M62</f>
        <v>0</v>
      </c>
      <c r="O62" s="10"/>
      <c r="P62" s="45">
        <f aca="true" t="shared" si="8" ref="P62:R67">N62+O62</f>
        <v>0</v>
      </c>
      <c r="R62" s="45">
        <f t="shared" si="8"/>
        <v>0</v>
      </c>
      <c r="S62" s="117" t="e">
        <f t="shared" si="0"/>
        <v>#DIV/0!</v>
      </c>
    </row>
    <row r="63" spans="1:19" ht="34.5" customHeight="1" hidden="1">
      <c r="A63" s="1" t="s">
        <v>320</v>
      </c>
      <c r="B63" s="10" t="s">
        <v>36</v>
      </c>
      <c r="C63" s="10" t="s">
        <v>216</v>
      </c>
      <c r="D63" s="10" t="s">
        <v>169</v>
      </c>
      <c r="E63" s="10" t="s">
        <v>315</v>
      </c>
      <c r="F63" s="45">
        <v>0</v>
      </c>
      <c r="G63" s="10"/>
      <c r="H63" s="45">
        <f>F63+G63</f>
        <v>0</v>
      </c>
      <c r="I63" s="10"/>
      <c r="J63" s="45">
        <f>H63+I63</f>
        <v>0</v>
      </c>
      <c r="K63" s="10"/>
      <c r="L63" s="45">
        <f>J63+K63</f>
        <v>0</v>
      </c>
      <c r="M63" s="10"/>
      <c r="N63" s="45">
        <f t="shared" si="7"/>
        <v>0</v>
      </c>
      <c r="O63" s="10"/>
      <c r="P63" s="45">
        <f t="shared" si="8"/>
        <v>0</v>
      </c>
      <c r="R63" s="45">
        <f t="shared" si="8"/>
        <v>0</v>
      </c>
      <c r="S63" s="117" t="e">
        <f t="shared" si="0"/>
        <v>#DIV/0!</v>
      </c>
    </row>
    <row r="64" spans="1:19" ht="34.5" customHeight="1">
      <c r="A64" s="1" t="s">
        <v>319</v>
      </c>
      <c r="B64" s="10" t="s">
        <v>36</v>
      </c>
      <c r="C64" s="10" t="s">
        <v>216</v>
      </c>
      <c r="D64" s="10" t="s">
        <v>169</v>
      </c>
      <c r="E64" s="10" t="s">
        <v>348</v>
      </c>
      <c r="F64" s="45"/>
      <c r="G64" s="10"/>
      <c r="H64" s="45"/>
      <c r="I64" s="10" t="s">
        <v>444</v>
      </c>
      <c r="J64" s="45">
        <f>H64+I64</f>
        <v>90000</v>
      </c>
      <c r="K64" s="68">
        <f>119088+33590+215516</f>
        <v>368194</v>
      </c>
      <c r="L64" s="45">
        <f>J64+K64</f>
        <v>458194</v>
      </c>
      <c r="M64" s="68">
        <v>-21314.52</v>
      </c>
      <c r="N64" s="45">
        <f t="shared" si="7"/>
        <v>436879.48</v>
      </c>
      <c r="O64" s="68">
        <v>-2804.75</v>
      </c>
      <c r="P64" s="45">
        <f t="shared" si="8"/>
        <v>434074.73</v>
      </c>
      <c r="R64" s="45">
        <v>408721.15</v>
      </c>
      <c r="S64" s="117">
        <f t="shared" si="0"/>
        <v>94.15916701716316</v>
      </c>
    </row>
    <row r="65" spans="1:19" ht="35.25" customHeight="1">
      <c r="A65" s="1" t="s">
        <v>321</v>
      </c>
      <c r="B65" s="10" t="s">
        <v>36</v>
      </c>
      <c r="C65" s="10" t="s">
        <v>216</v>
      </c>
      <c r="D65" s="10" t="s">
        <v>169</v>
      </c>
      <c r="E65" s="10" t="s">
        <v>316</v>
      </c>
      <c r="F65" s="45">
        <v>0</v>
      </c>
      <c r="G65" s="10" t="s">
        <v>422</v>
      </c>
      <c r="H65" s="45">
        <f>F65+G65</f>
        <v>633000</v>
      </c>
      <c r="I65" s="10" t="s">
        <v>376</v>
      </c>
      <c r="J65" s="45">
        <f>H65+I65</f>
        <v>633000</v>
      </c>
      <c r="K65" s="10"/>
      <c r="L65" s="45">
        <f>J65+K65</f>
        <v>633000</v>
      </c>
      <c r="M65" s="10"/>
      <c r="N65" s="45">
        <f t="shared" si="7"/>
        <v>633000</v>
      </c>
      <c r="O65" s="10"/>
      <c r="P65" s="45">
        <f t="shared" si="8"/>
        <v>633000</v>
      </c>
      <c r="R65" s="45">
        <v>545845.25</v>
      </c>
      <c r="S65" s="117">
        <f t="shared" si="0"/>
        <v>86.23147709320695</v>
      </c>
    </row>
    <row r="66" spans="1:19" ht="35.25" customHeight="1">
      <c r="A66" s="1" t="s">
        <v>237</v>
      </c>
      <c r="B66" s="10" t="s">
        <v>36</v>
      </c>
      <c r="C66" s="10" t="s">
        <v>216</v>
      </c>
      <c r="D66" s="10" t="s">
        <v>169</v>
      </c>
      <c r="E66" s="10" t="s">
        <v>351</v>
      </c>
      <c r="F66" s="45"/>
      <c r="G66" s="10"/>
      <c r="H66" s="45"/>
      <c r="I66" s="10"/>
      <c r="J66" s="45"/>
      <c r="K66" s="10"/>
      <c r="L66" s="45"/>
      <c r="M66" s="10" t="s">
        <v>673</v>
      </c>
      <c r="N66" s="45">
        <f t="shared" si="7"/>
        <v>8988.02</v>
      </c>
      <c r="O66" s="10"/>
      <c r="P66" s="45">
        <f t="shared" si="8"/>
        <v>8988.02</v>
      </c>
      <c r="R66" s="45">
        <f t="shared" si="8"/>
        <v>8988.02</v>
      </c>
      <c r="S66" s="117">
        <f t="shared" si="0"/>
        <v>100</v>
      </c>
    </row>
    <row r="67" spans="1:19" ht="31.5">
      <c r="A67" s="3" t="s">
        <v>343</v>
      </c>
      <c r="B67" s="10" t="s">
        <v>36</v>
      </c>
      <c r="C67" s="10" t="s">
        <v>216</v>
      </c>
      <c r="D67" s="10" t="s">
        <v>169</v>
      </c>
      <c r="E67" s="10" t="s">
        <v>317</v>
      </c>
      <c r="F67" s="45">
        <v>0</v>
      </c>
      <c r="G67" s="10" t="s">
        <v>514</v>
      </c>
      <c r="H67" s="45">
        <f>F67+G67</f>
        <v>171000</v>
      </c>
      <c r="I67" s="10" t="s">
        <v>376</v>
      </c>
      <c r="J67" s="45">
        <f>H67+I67</f>
        <v>171000</v>
      </c>
      <c r="K67" s="10" t="s">
        <v>504</v>
      </c>
      <c r="L67" s="45">
        <f>J67+K67</f>
        <v>201000</v>
      </c>
      <c r="M67" s="68">
        <f>-8988.02+20000</f>
        <v>11011.98</v>
      </c>
      <c r="N67" s="45">
        <f t="shared" si="7"/>
        <v>212011.98</v>
      </c>
      <c r="O67" s="68">
        <f>200-4403.65</f>
        <v>-4203.65</v>
      </c>
      <c r="P67" s="45">
        <f t="shared" si="8"/>
        <v>207808.33000000002</v>
      </c>
      <c r="R67" s="45">
        <v>130000</v>
      </c>
      <c r="S67" s="117">
        <f t="shared" si="0"/>
        <v>62.55764626952153</v>
      </c>
    </row>
    <row r="68" spans="1:19" ht="33.75" customHeight="1">
      <c r="A68" s="1" t="s">
        <v>97</v>
      </c>
      <c r="B68" s="10">
        <v>901</v>
      </c>
      <c r="C68" s="10" t="s">
        <v>216</v>
      </c>
      <c r="D68" s="10" t="s">
        <v>15</v>
      </c>
      <c r="E68" s="10"/>
      <c r="F68" s="46">
        <f>F69+F70+F71+F72</f>
        <v>0</v>
      </c>
      <c r="G68" s="10" t="s">
        <v>421</v>
      </c>
      <c r="H68" s="46">
        <f>H69+H70+H71+H72</f>
        <v>13874000</v>
      </c>
      <c r="I68" s="10" t="s">
        <v>376</v>
      </c>
      <c r="J68" s="46">
        <f>J69+J70+J71+J72</f>
        <v>13874000</v>
      </c>
      <c r="K68" s="10"/>
      <c r="L68" s="46">
        <f>L69+L70+L71+L72</f>
        <v>13874000</v>
      </c>
      <c r="M68" s="10"/>
      <c r="N68" s="46">
        <f>N69+N70+N71+N72</f>
        <v>13892118.540000001</v>
      </c>
      <c r="O68" s="10"/>
      <c r="P68" s="46">
        <f>P69+P70+P71+P72</f>
        <v>13892118.540000001</v>
      </c>
      <c r="R68" s="46">
        <f>R69+R70+R71+R72</f>
        <v>6108363.220000001</v>
      </c>
      <c r="S68" s="117">
        <f t="shared" si="0"/>
        <v>43.96999062750584</v>
      </c>
    </row>
    <row r="69" spans="1:19" ht="15.75">
      <c r="A69" s="1" t="s">
        <v>318</v>
      </c>
      <c r="B69" s="10" t="s">
        <v>36</v>
      </c>
      <c r="C69" s="10" t="s">
        <v>216</v>
      </c>
      <c r="D69" s="10" t="s">
        <v>15</v>
      </c>
      <c r="E69" s="10" t="s">
        <v>313</v>
      </c>
      <c r="F69" s="46">
        <v>0</v>
      </c>
      <c r="G69" s="68">
        <v>12322429</v>
      </c>
      <c r="H69" s="46">
        <f>F69+G69</f>
        <v>12322429</v>
      </c>
      <c r="I69" s="68">
        <v>0</v>
      </c>
      <c r="J69" s="46">
        <f>H69+I69</f>
        <v>12322429</v>
      </c>
      <c r="K69" s="68"/>
      <c r="L69" s="46">
        <f>J69+K69</f>
        <v>12322429</v>
      </c>
      <c r="M69" s="68">
        <f>5123.84-28283-71822.06-74055.61-34130-15200+11621</f>
        <v>-206745.83000000002</v>
      </c>
      <c r="N69" s="46">
        <f>L69+M69</f>
        <v>12115683.17</v>
      </c>
      <c r="O69" s="68">
        <f>-15527-142800-200000</f>
        <v>-358327</v>
      </c>
      <c r="P69" s="46">
        <f>N69+O69</f>
        <v>11757356.17</v>
      </c>
      <c r="R69" s="46">
        <v>5117683.15</v>
      </c>
      <c r="S69" s="117">
        <f t="shared" si="0"/>
        <v>43.52749951607531</v>
      </c>
    </row>
    <row r="70" spans="1:19" ht="31.5">
      <c r="A70" s="1" t="s">
        <v>319</v>
      </c>
      <c r="B70" s="10" t="s">
        <v>36</v>
      </c>
      <c r="C70" s="10" t="s">
        <v>216</v>
      </c>
      <c r="D70" s="10" t="s">
        <v>15</v>
      </c>
      <c r="E70" s="10" t="s">
        <v>314</v>
      </c>
      <c r="F70" s="46">
        <v>0</v>
      </c>
      <c r="G70" s="10" t="s">
        <v>504</v>
      </c>
      <c r="H70" s="46">
        <f>F70+G70</f>
        <v>30000</v>
      </c>
      <c r="I70" s="10" t="s">
        <v>376</v>
      </c>
      <c r="J70" s="46">
        <f>H70+I70</f>
        <v>30000</v>
      </c>
      <c r="K70" s="10"/>
      <c r="L70" s="46">
        <f>J70+K70</f>
        <v>30000</v>
      </c>
      <c r="M70" s="68">
        <f>509.83+748.36+115+118.7</f>
        <v>1491.89</v>
      </c>
      <c r="N70" s="46">
        <f>L70+M70</f>
        <v>31491.89</v>
      </c>
      <c r="O70" s="68"/>
      <c r="P70" s="46">
        <f>N70+O70</f>
        <v>31491.89</v>
      </c>
      <c r="R70" s="46">
        <v>6341.03</v>
      </c>
      <c r="S70" s="117">
        <f t="shared" si="0"/>
        <v>20.135438044525113</v>
      </c>
    </row>
    <row r="71" spans="1:19" ht="47.25">
      <c r="A71" s="1" t="s">
        <v>320</v>
      </c>
      <c r="B71" s="10" t="s">
        <v>36</v>
      </c>
      <c r="C71" s="10" t="s">
        <v>216</v>
      </c>
      <c r="D71" s="10" t="s">
        <v>15</v>
      </c>
      <c r="E71" s="10" t="s">
        <v>315</v>
      </c>
      <c r="F71" s="46">
        <v>0</v>
      </c>
      <c r="G71" s="68">
        <v>747684</v>
      </c>
      <c r="H71" s="46">
        <f>F71+G71</f>
        <v>747684</v>
      </c>
      <c r="I71" s="68">
        <v>0</v>
      </c>
      <c r="J71" s="46">
        <f>H71+I71</f>
        <v>747684</v>
      </c>
      <c r="K71" s="68"/>
      <c r="L71" s="46">
        <f>J71+K71</f>
        <v>747684</v>
      </c>
      <c r="M71" s="68">
        <f>6000+181.39+2648+1200+2130</f>
        <v>12159.39</v>
      </c>
      <c r="N71" s="46">
        <f>L71+M71</f>
        <v>759843.39</v>
      </c>
      <c r="O71" s="68">
        <f>-1500+200000</f>
        <v>198500</v>
      </c>
      <c r="P71" s="46">
        <f>N71+O71</f>
        <v>958343.39</v>
      </c>
      <c r="R71" s="46">
        <v>330507.12</v>
      </c>
      <c r="S71" s="117">
        <f t="shared" si="0"/>
        <v>34.4873375711393</v>
      </c>
    </row>
    <row r="72" spans="1:19" ht="33.75" customHeight="1">
      <c r="A72" s="1" t="s">
        <v>321</v>
      </c>
      <c r="B72" s="10" t="s">
        <v>36</v>
      </c>
      <c r="C72" s="10" t="s">
        <v>216</v>
      </c>
      <c r="D72" s="10" t="s">
        <v>15</v>
      </c>
      <c r="E72" s="10" t="s">
        <v>316</v>
      </c>
      <c r="F72" s="46">
        <v>0</v>
      </c>
      <c r="G72" s="68">
        <v>773887</v>
      </c>
      <c r="H72" s="46">
        <f>F72+G72</f>
        <v>773887</v>
      </c>
      <c r="I72" s="68">
        <v>0</v>
      </c>
      <c r="J72" s="46">
        <f>H72+I72</f>
        <v>773887</v>
      </c>
      <c r="K72" s="68"/>
      <c r="L72" s="46">
        <f>J72+K72</f>
        <v>773887</v>
      </c>
      <c r="M72" s="68">
        <f>5301.2+111998.55+5411+28283+24863-2200-1200-10573.66+34130+15200</f>
        <v>211213.09</v>
      </c>
      <c r="N72" s="46">
        <f>L72+M72</f>
        <v>985100.09</v>
      </c>
      <c r="O72" s="68">
        <f>1500+15527+142800</f>
        <v>159827</v>
      </c>
      <c r="P72" s="46">
        <f>N72+O72</f>
        <v>1144927.0899999999</v>
      </c>
      <c r="R72" s="46">
        <v>653831.92</v>
      </c>
      <c r="S72" s="117">
        <f t="shared" si="0"/>
        <v>57.10686083949679</v>
      </c>
    </row>
    <row r="73" spans="1:19" ht="94.5">
      <c r="A73" s="1" t="s">
        <v>173</v>
      </c>
      <c r="B73" s="10">
        <v>901</v>
      </c>
      <c r="C73" s="10" t="s">
        <v>216</v>
      </c>
      <c r="D73" s="10" t="s">
        <v>360</v>
      </c>
      <c r="E73" s="10"/>
      <c r="F73" s="45">
        <f>F74+F75</f>
        <v>0</v>
      </c>
      <c r="G73" s="10" t="s">
        <v>376</v>
      </c>
      <c r="H73" s="45">
        <f>H74+H75</f>
        <v>192000</v>
      </c>
      <c r="I73" s="10" t="s">
        <v>376</v>
      </c>
      <c r="J73" s="45">
        <f>J74+J75</f>
        <v>192000</v>
      </c>
      <c r="K73" s="10"/>
      <c r="L73" s="45">
        <f>L74+L75</f>
        <v>192000</v>
      </c>
      <c r="M73" s="10"/>
      <c r="N73" s="45">
        <f>N74+N75</f>
        <v>192000</v>
      </c>
      <c r="O73" s="10"/>
      <c r="P73" s="45">
        <f>P74+P75</f>
        <v>192000</v>
      </c>
      <c r="R73" s="45">
        <f>R74+R75</f>
        <v>196</v>
      </c>
      <c r="S73" s="117">
        <f t="shared" si="0"/>
        <v>0.10208333333333332</v>
      </c>
    </row>
    <row r="74" spans="1:19" ht="47.25">
      <c r="A74" s="1" t="s">
        <v>320</v>
      </c>
      <c r="B74" s="8" t="s">
        <v>36</v>
      </c>
      <c r="C74" s="29" t="s">
        <v>216</v>
      </c>
      <c r="D74" s="8" t="s">
        <v>360</v>
      </c>
      <c r="E74" s="8" t="s">
        <v>315</v>
      </c>
      <c r="F74" s="28">
        <v>0</v>
      </c>
      <c r="G74" s="8" t="s">
        <v>539</v>
      </c>
      <c r="H74" s="28">
        <f>F74+G74</f>
        <v>23624</v>
      </c>
      <c r="I74" s="8" t="s">
        <v>376</v>
      </c>
      <c r="J74" s="28">
        <f>H74+I74</f>
        <v>23624</v>
      </c>
      <c r="K74" s="8"/>
      <c r="L74" s="28">
        <f>J74+K74</f>
        <v>23624</v>
      </c>
      <c r="M74" s="8"/>
      <c r="N74" s="28">
        <f>L74+M74</f>
        <v>23624</v>
      </c>
      <c r="O74" s="8"/>
      <c r="P74" s="28">
        <f>N74+O74</f>
        <v>23624</v>
      </c>
      <c r="R74" s="28">
        <v>0</v>
      </c>
      <c r="S74" s="117">
        <f t="shared" si="0"/>
        <v>0</v>
      </c>
    </row>
    <row r="75" spans="1:19" ht="35.25" customHeight="1">
      <c r="A75" s="1" t="s">
        <v>321</v>
      </c>
      <c r="B75" s="8" t="s">
        <v>36</v>
      </c>
      <c r="C75" s="29" t="s">
        <v>216</v>
      </c>
      <c r="D75" s="8" t="s">
        <v>360</v>
      </c>
      <c r="E75" s="8" t="s">
        <v>316</v>
      </c>
      <c r="F75" s="28">
        <v>0</v>
      </c>
      <c r="G75" s="8" t="s">
        <v>540</v>
      </c>
      <c r="H75" s="28">
        <f>F75+G75</f>
        <v>168376</v>
      </c>
      <c r="I75" s="8" t="s">
        <v>376</v>
      </c>
      <c r="J75" s="28">
        <f>H75+I75</f>
        <v>168376</v>
      </c>
      <c r="K75" s="8"/>
      <c r="L75" s="28">
        <f>J75+K75</f>
        <v>168376</v>
      </c>
      <c r="M75" s="8"/>
      <c r="N75" s="28">
        <f>L75+M75</f>
        <v>168376</v>
      </c>
      <c r="O75" s="8"/>
      <c r="P75" s="28">
        <f>N75+O75</f>
        <v>168376</v>
      </c>
      <c r="R75" s="28">
        <v>196</v>
      </c>
      <c r="S75" s="117">
        <f t="shared" si="0"/>
        <v>0.11640613864208676</v>
      </c>
    </row>
    <row r="76" spans="1:19" ht="116.25" customHeight="1">
      <c r="A76" s="43" t="s">
        <v>275</v>
      </c>
      <c r="B76" s="10" t="s">
        <v>36</v>
      </c>
      <c r="C76" s="10" t="s">
        <v>216</v>
      </c>
      <c r="D76" s="10" t="s">
        <v>361</v>
      </c>
      <c r="E76" s="10"/>
      <c r="F76" s="46">
        <f>F77+F78</f>
        <v>0</v>
      </c>
      <c r="G76" s="10" t="s">
        <v>376</v>
      </c>
      <c r="H76" s="46">
        <f>H77+H78</f>
        <v>100</v>
      </c>
      <c r="I76" s="10" t="s">
        <v>376</v>
      </c>
      <c r="J76" s="46">
        <f>J77+J78</f>
        <v>100</v>
      </c>
      <c r="K76" s="10"/>
      <c r="L76" s="46">
        <f>L77+L78</f>
        <v>100</v>
      </c>
      <c r="M76" s="10"/>
      <c r="N76" s="46">
        <f>N77+N78</f>
        <v>100</v>
      </c>
      <c r="O76" s="10"/>
      <c r="P76" s="46">
        <f>P77+P78</f>
        <v>100</v>
      </c>
      <c r="R76" s="46">
        <f>R77+R78</f>
        <v>0</v>
      </c>
      <c r="S76" s="117">
        <f t="shared" si="0"/>
        <v>0</v>
      </c>
    </row>
    <row r="77" spans="1:19" ht="47.25" hidden="1">
      <c r="A77" s="1" t="s">
        <v>320</v>
      </c>
      <c r="B77" s="10" t="s">
        <v>36</v>
      </c>
      <c r="C77" s="10" t="s">
        <v>216</v>
      </c>
      <c r="D77" s="10" t="s">
        <v>361</v>
      </c>
      <c r="E77" s="10" t="s">
        <v>315</v>
      </c>
      <c r="F77" s="46">
        <v>0</v>
      </c>
      <c r="G77" s="68">
        <v>0</v>
      </c>
      <c r="H77" s="46">
        <f>F77+G77</f>
        <v>0</v>
      </c>
      <c r="I77" s="68">
        <v>0</v>
      </c>
      <c r="J77" s="46">
        <f>H77+I77</f>
        <v>0</v>
      </c>
      <c r="K77" s="68"/>
      <c r="L77" s="46">
        <f>J77+K77</f>
        <v>0</v>
      </c>
      <c r="M77" s="68"/>
      <c r="N77" s="46">
        <f>L77+M77</f>
        <v>0</v>
      </c>
      <c r="O77" s="68"/>
      <c r="P77" s="46">
        <f>N77+O77</f>
        <v>0</v>
      </c>
      <c r="R77" s="46">
        <f>P77+Q77</f>
        <v>0</v>
      </c>
      <c r="S77" s="117">
        <v>0</v>
      </c>
    </row>
    <row r="78" spans="1:19" ht="34.5" customHeight="1">
      <c r="A78" s="1" t="s">
        <v>321</v>
      </c>
      <c r="B78" s="10" t="s">
        <v>36</v>
      </c>
      <c r="C78" s="10" t="s">
        <v>216</v>
      </c>
      <c r="D78" s="10" t="s">
        <v>361</v>
      </c>
      <c r="E78" s="10" t="s">
        <v>316</v>
      </c>
      <c r="F78" s="46">
        <v>0</v>
      </c>
      <c r="G78" s="68">
        <v>100</v>
      </c>
      <c r="H78" s="46">
        <f>F78+G78</f>
        <v>100</v>
      </c>
      <c r="I78" s="68">
        <v>0</v>
      </c>
      <c r="J78" s="46">
        <f>H78+I78</f>
        <v>100</v>
      </c>
      <c r="K78" s="68"/>
      <c r="L78" s="46">
        <f>J78+K78</f>
        <v>100</v>
      </c>
      <c r="M78" s="68"/>
      <c r="N78" s="46">
        <f>L78+M78</f>
        <v>100</v>
      </c>
      <c r="O78" s="68"/>
      <c r="P78" s="46">
        <f>N78+O78</f>
        <v>100</v>
      </c>
      <c r="R78" s="46">
        <v>0</v>
      </c>
      <c r="S78" s="117">
        <f aca="true" t="shared" si="9" ref="S78:S140">R78/P78*100</f>
        <v>0</v>
      </c>
    </row>
    <row r="79" spans="1:19" ht="47.25">
      <c r="A79" s="1" t="s">
        <v>417</v>
      </c>
      <c r="B79" s="10" t="s">
        <v>36</v>
      </c>
      <c r="C79" s="10" t="s">
        <v>216</v>
      </c>
      <c r="D79" s="10" t="s">
        <v>362</v>
      </c>
      <c r="E79" s="10"/>
      <c r="F79" s="46">
        <f>F82</f>
        <v>0</v>
      </c>
      <c r="G79" s="10" t="s">
        <v>376</v>
      </c>
      <c r="H79" s="46">
        <f>H81+H82</f>
        <v>83400</v>
      </c>
      <c r="I79" s="10" t="s">
        <v>376</v>
      </c>
      <c r="J79" s="46">
        <f>J81+J82</f>
        <v>83400</v>
      </c>
      <c r="K79" s="10"/>
      <c r="L79" s="46">
        <f>L81+L82</f>
        <v>83400</v>
      </c>
      <c r="M79" s="10"/>
      <c r="N79" s="46">
        <f>N81+N82+N80</f>
        <v>83400</v>
      </c>
      <c r="O79" s="10"/>
      <c r="P79" s="46">
        <f>P81+P82+P80</f>
        <v>83400</v>
      </c>
      <c r="R79" s="46">
        <f>R81+R82+R80</f>
        <v>14355.849999999999</v>
      </c>
      <c r="S79" s="117">
        <f t="shared" si="9"/>
        <v>17.21324940047961</v>
      </c>
    </row>
    <row r="80" spans="1:22" ht="18.75">
      <c r="A80" s="43" t="s">
        <v>318</v>
      </c>
      <c r="B80" s="10" t="s">
        <v>36</v>
      </c>
      <c r="C80" s="10" t="s">
        <v>216</v>
      </c>
      <c r="D80" s="10" t="s">
        <v>362</v>
      </c>
      <c r="E80" s="10" t="s">
        <v>313</v>
      </c>
      <c r="F80" s="46"/>
      <c r="G80" s="10"/>
      <c r="H80" s="46"/>
      <c r="I80" s="10"/>
      <c r="J80" s="46"/>
      <c r="K80" s="10"/>
      <c r="L80" s="46"/>
      <c r="M80" s="10" t="s">
        <v>674</v>
      </c>
      <c r="N80" s="46">
        <f>L80+M80</f>
        <v>64560</v>
      </c>
      <c r="O80" s="10"/>
      <c r="P80" s="46">
        <f>N80+O80</f>
        <v>64560</v>
      </c>
      <c r="R80" s="46">
        <v>12819.21</v>
      </c>
      <c r="S80" s="117">
        <f t="shared" si="9"/>
        <v>19.856273234200742</v>
      </c>
      <c r="T80" s="119"/>
      <c r="U80" s="27"/>
      <c r="V80" s="27"/>
    </row>
    <row r="81" spans="1:19" ht="47.25">
      <c r="A81" s="1" t="s">
        <v>320</v>
      </c>
      <c r="B81" s="10" t="s">
        <v>36</v>
      </c>
      <c r="C81" s="10" t="s">
        <v>216</v>
      </c>
      <c r="D81" s="10" t="s">
        <v>362</v>
      </c>
      <c r="E81" s="10" t="s">
        <v>315</v>
      </c>
      <c r="F81" s="46"/>
      <c r="G81" s="10" t="s">
        <v>541</v>
      </c>
      <c r="H81" s="46">
        <f>F81+G81</f>
        <v>14749</v>
      </c>
      <c r="I81" s="10" t="s">
        <v>376</v>
      </c>
      <c r="J81" s="46">
        <f>H81+I81</f>
        <v>14749</v>
      </c>
      <c r="K81" s="10"/>
      <c r="L81" s="46">
        <f>J81+K81</f>
        <v>14749</v>
      </c>
      <c r="M81" s="10" t="s">
        <v>675</v>
      </c>
      <c r="N81" s="46">
        <f>L81+M81</f>
        <v>4749</v>
      </c>
      <c r="O81" s="10"/>
      <c r="P81" s="46">
        <f>N81+O81</f>
        <v>4749</v>
      </c>
      <c r="R81" s="46">
        <v>1536.64</v>
      </c>
      <c r="S81" s="117">
        <f t="shared" si="9"/>
        <v>32.357127816382395</v>
      </c>
    </row>
    <row r="82" spans="1:19" ht="33.75" customHeight="1">
      <c r="A82" s="1" t="s">
        <v>321</v>
      </c>
      <c r="B82" s="10" t="s">
        <v>36</v>
      </c>
      <c r="C82" s="10" t="s">
        <v>216</v>
      </c>
      <c r="D82" s="10" t="s">
        <v>362</v>
      </c>
      <c r="E82" s="10" t="s">
        <v>316</v>
      </c>
      <c r="F82" s="46">
        <v>0</v>
      </c>
      <c r="G82" s="10" t="s">
        <v>542</v>
      </c>
      <c r="H82" s="46">
        <f>F82+G82</f>
        <v>68651</v>
      </c>
      <c r="I82" s="10" t="s">
        <v>376</v>
      </c>
      <c r="J82" s="46">
        <f>H82+I82</f>
        <v>68651</v>
      </c>
      <c r="K82" s="10"/>
      <c r="L82" s="46">
        <f>J82+K82</f>
        <v>68651</v>
      </c>
      <c r="M82" s="10" t="s">
        <v>676</v>
      </c>
      <c r="N82" s="46">
        <f>L82+M82</f>
        <v>14091</v>
      </c>
      <c r="O82" s="10"/>
      <c r="P82" s="46">
        <f>N82+O82</f>
        <v>14091</v>
      </c>
      <c r="R82" s="46">
        <v>0</v>
      </c>
      <c r="S82" s="117">
        <f t="shared" si="9"/>
        <v>0</v>
      </c>
    </row>
    <row r="83" spans="1:19" ht="17.25" customHeight="1">
      <c r="A83" s="24" t="s">
        <v>551</v>
      </c>
      <c r="B83" s="10" t="s">
        <v>36</v>
      </c>
      <c r="C83" s="10" t="s">
        <v>216</v>
      </c>
      <c r="D83" s="10" t="s">
        <v>255</v>
      </c>
      <c r="E83" s="10"/>
      <c r="F83" s="46">
        <f>F85+F84</f>
        <v>0</v>
      </c>
      <c r="G83" s="10" t="s">
        <v>409</v>
      </c>
      <c r="H83" s="46">
        <f>H85+H84</f>
        <v>220000</v>
      </c>
      <c r="I83" s="10" t="s">
        <v>376</v>
      </c>
      <c r="J83" s="46">
        <f>J85+J84</f>
        <v>220000</v>
      </c>
      <c r="K83" s="10"/>
      <c r="L83" s="46">
        <f>L85+L84</f>
        <v>220000</v>
      </c>
      <c r="M83" s="10"/>
      <c r="N83" s="46">
        <f>N85+N84</f>
        <v>220000</v>
      </c>
      <c r="O83" s="10"/>
      <c r="P83" s="46">
        <f>P85+P84</f>
        <v>120000</v>
      </c>
      <c r="R83" s="46">
        <f>R85+R84</f>
        <v>13680</v>
      </c>
      <c r="S83" s="117">
        <f t="shared" si="9"/>
        <v>11.4</v>
      </c>
    </row>
    <row r="84" spans="1:19" ht="47.25">
      <c r="A84" s="1" t="s">
        <v>320</v>
      </c>
      <c r="B84" s="10" t="s">
        <v>36</v>
      </c>
      <c r="C84" s="10" t="s">
        <v>216</v>
      </c>
      <c r="D84" s="10" t="s">
        <v>255</v>
      </c>
      <c r="E84" s="10" t="s">
        <v>315</v>
      </c>
      <c r="F84" s="46">
        <v>0</v>
      </c>
      <c r="G84" s="10" t="s">
        <v>496</v>
      </c>
      <c r="H84" s="46">
        <f>F84+G84</f>
        <v>20000</v>
      </c>
      <c r="I84" s="10" t="s">
        <v>376</v>
      </c>
      <c r="J84" s="46">
        <f>H84+I84</f>
        <v>20000</v>
      </c>
      <c r="K84" s="10"/>
      <c r="L84" s="46">
        <f>J84+K84</f>
        <v>20000</v>
      </c>
      <c r="M84" s="10"/>
      <c r="N84" s="46">
        <f>L84+M84</f>
        <v>20000</v>
      </c>
      <c r="O84" s="10"/>
      <c r="P84" s="46">
        <f>N84+O84</f>
        <v>20000</v>
      </c>
      <c r="R84" s="46">
        <v>1980</v>
      </c>
      <c r="S84" s="117">
        <f t="shared" si="9"/>
        <v>9.9</v>
      </c>
    </row>
    <row r="85" spans="1:19" ht="31.5">
      <c r="A85" s="1" t="s">
        <v>321</v>
      </c>
      <c r="B85" s="10" t="s">
        <v>36</v>
      </c>
      <c r="C85" s="10" t="s">
        <v>216</v>
      </c>
      <c r="D85" s="10" t="s">
        <v>255</v>
      </c>
      <c r="E85" s="10" t="s">
        <v>316</v>
      </c>
      <c r="F85" s="46">
        <v>0</v>
      </c>
      <c r="G85" s="10" t="s">
        <v>505</v>
      </c>
      <c r="H85" s="46">
        <f>F85+G85</f>
        <v>200000</v>
      </c>
      <c r="I85" s="10" t="s">
        <v>376</v>
      </c>
      <c r="J85" s="46">
        <f>H85+I85</f>
        <v>200000</v>
      </c>
      <c r="K85" s="10"/>
      <c r="L85" s="46">
        <f>J85+K85</f>
        <v>200000</v>
      </c>
      <c r="M85" s="10"/>
      <c r="N85" s="46">
        <f>L85+M85</f>
        <v>200000</v>
      </c>
      <c r="O85" s="10" t="s">
        <v>563</v>
      </c>
      <c r="P85" s="46">
        <f>N85+O85</f>
        <v>100000</v>
      </c>
      <c r="R85" s="46">
        <v>11700</v>
      </c>
      <c r="S85" s="117">
        <f t="shared" si="9"/>
        <v>11.700000000000001</v>
      </c>
    </row>
    <row r="86" spans="1:19" ht="16.5" customHeight="1">
      <c r="A86" s="1" t="s">
        <v>143</v>
      </c>
      <c r="B86" s="10" t="s">
        <v>36</v>
      </c>
      <c r="C86" s="10" t="s">
        <v>16</v>
      </c>
      <c r="D86" s="10"/>
      <c r="E86" s="10"/>
      <c r="F86" s="45">
        <f>F87</f>
        <v>0</v>
      </c>
      <c r="G86" s="10"/>
      <c r="H86" s="45">
        <f>H87</f>
        <v>1718400</v>
      </c>
      <c r="I86" s="10"/>
      <c r="J86" s="45">
        <f>J87</f>
        <v>1718400</v>
      </c>
      <c r="K86" s="10"/>
      <c r="L86" s="45">
        <f>L87</f>
        <v>1718400</v>
      </c>
      <c r="M86" s="10"/>
      <c r="N86" s="45">
        <f>N87</f>
        <v>1718400</v>
      </c>
      <c r="O86" s="10"/>
      <c r="P86" s="45">
        <f>P87</f>
        <v>1718400</v>
      </c>
      <c r="R86" s="45">
        <f>R87</f>
        <v>715266.76</v>
      </c>
      <c r="S86" s="117">
        <f t="shared" si="9"/>
        <v>41.62399674115456</v>
      </c>
    </row>
    <row r="87" spans="1:19" ht="32.25" customHeight="1">
      <c r="A87" s="1" t="s">
        <v>98</v>
      </c>
      <c r="B87" s="10">
        <v>901</v>
      </c>
      <c r="C87" s="10" t="s">
        <v>99</v>
      </c>
      <c r="D87" s="10"/>
      <c r="E87" s="10"/>
      <c r="F87" s="46">
        <f>F88</f>
        <v>0</v>
      </c>
      <c r="G87" s="10"/>
      <c r="H87" s="46">
        <f>H88</f>
        <v>1718400</v>
      </c>
      <c r="I87" s="10"/>
      <c r="J87" s="46">
        <f>J88</f>
        <v>1718400</v>
      </c>
      <c r="K87" s="10"/>
      <c r="L87" s="46">
        <f>L88</f>
        <v>1718400</v>
      </c>
      <c r="M87" s="10"/>
      <c r="N87" s="46">
        <f>N88</f>
        <v>1718400</v>
      </c>
      <c r="O87" s="10"/>
      <c r="P87" s="46">
        <f>P88</f>
        <v>1718400</v>
      </c>
      <c r="R87" s="46">
        <f>R88</f>
        <v>715266.76</v>
      </c>
      <c r="S87" s="117">
        <f t="shared" si="9"/>
        <v>41.62399674115456</v>
      </c>
    </row>
    <row r="88" spans="1:19" ht="33.75" customHeight="1">
      <c r="A88" s="1" t="s">
        <v>137</v>
      </c>
      <c r="B88" s="10">
        <v>901</v>
      </c>
      <c r="C88" s="10" t="s">
        <v>99</v>
      </c>
      <c r="D88" s="10" t="s">
        <v>8</v>
      </c>
      <c r="E88" s="10"/>
      <c r="F88" s="46">
        <f>F89</f>
        <v>0</v>
      </c>
      <c r="G88" s="10"/>
      <c r="H88" s="46">
        <f>H89</f>
        <v>1718400</v>
      </c>
      <c r="I88" s="10"/>
      <c r="J88" s="46">
        <f>J89</f>
        <v>1718400</v>
      </c>
      <c r="K88" s="10"/>
      <c r="L88" s="46">
        <f>L89</f>
        <v>1718400</v>
      </c>
      <c r="M88" s="10"/>
      <c r="N88" s="46">
        <f>N89</f>
        <v>1718400</v>
      </c>
      <c r="O88" s="10"/>
      <c r="P88" s="46">
        <f>P89</f>
        <v>1718400</v>
      </c>
      <c r="R88" s="46">
        <f>R89</f>
        <v>715266.76</v>
      </c>
      <c r="S88" s="117">
        <f t="shared" si="9"/>
        <v>41.62399674115456</v>
      </c>
    </row>
    <row r="89" spans="1:19" ht="47.25" customHeight="1">
      <c r="A89" s="1" t="s">
        <v>230</v>
      </c>
      <c r="B89" s="10">
        <v>901</v>
      </c>
      <c r="C89" s="10" t="s">
        <v>99</v>
      </c>
      <c r="D89" s="10" t="s">
        <v>100</v>
      </c>
      <c r="E89" s="10"/>
      <c r="F89" s="45">
        <f>F90+F91+F92+F93</f>
        <v>0</v>
      </c>
      <c r="G89" s="10"/>
      <c r="H89" s="45">
        <f>H90+H91+H92+H93</f>
        <v>1718400</v>
      </c>
      <c r="I89" s="10"/>
      <c r="J89" s="45">
        <f>J90+J91+J92+J93</f>
        <v>1718400</v>
      </c>
      <c r="K89" s="10"/>
      <c r="L89" s="45">
        <f>L90+L91+L92+L93</f>
        <v>1718400</v>
      </c>
      <c r="M89" s="10"/>
      <c r="N89" s="45">
        <f>N90+N91+N92+N93</f>
        <v>1718400</v>
      </c>
      <c r="O89" s="10"/>
      <c r="P89" s="45">
        <f>P90+P91+P92+P93</f>
        <v>1718400</v>
      </c>
      <c r="R89" s="45">
        <f>R90+R91+R92+R93</f>
        <v>715266.76</v>
      </c>
      <c r="S89" s="117">
        <f t="shared" si="9"/>
        <v>41.62399674115456</v>
      </c>
    </row>
    <row r="90" spans="1:19" ht="26.25" customHeight="1">
      <c r="A90" s="1" t="s">
        <v>318</v>
      </c>
      <c r="B90" s="10">
        <v>901</v>
      </c>
      <c r="C90" s="10" t="s">
        <v>99</v>
      </c>
      <c r="D90" s="10" t="s">
        <v>100</v>
      </c>
      <c r="E90" s="10" t="s">
        <v>313</v>
      </c>
      <c r="F90" s="45">
        <v>0</v>
      </c>
      <c r="G90" s="10" t="s">
        <v>531</v>
      </c>
      <c r="H90" s="45">
        <f>F90+G90</f>
        <v>1004500</v>
      </c>
      <c r="I90" s="10" t="s">
        <v>376</v>
      </c>
      <c r="J90" s="45">
        <v>1074840</v>
      </c>
      <c r="K90" s="10" t="s">
        <v>604</v>
      </c>
      <c r="L90" s="45">
        <f>J90+K90</f>
        <v>1237533</v>
      </c>
      <c r="M90" s="10" t="s">
        <v>376</v>
      </c>
      <c r="N90" s="45">
        <f>L90+M90</f>
        <v>1237533</v>
      </c>
      <c r="O90" s="10"/>
      <c r="P90" s="45">
        <f>N90+O90</f>
        <v>1237533</v>
      </c>
      <c r="R90" s="45">
        <v>544484.68</v>
      </c>
      <c r="S90" s="117">
        <f t="shared" si="9"/>
        <v>43.99758875116866</v>
      </c>
    </row>
    <row r="91" spans="1:19" ht="38.25" customHeight="1">
      <c r="A91" s="1" t="s">
        <v>319</v>
      </c>
      <c r="B91" s="10">
        <v>901</v>
      </c>
      <c r="C91" s="10" t="s">
        <v>99</v>
      </c>
      <c r="D91" s="10" t="s">
        <v>100</v>
      </c>
      <c r="E91" s="10" t="s">
        <v>314</v>
      </c>
      <c r="F91" s="45">
        <v>0</v>
      </c>
      <c r="G91" s="10" t="s">
        <v>376</v>
      </c>
      <c r="H91" s="45">
        <f>F91+G91</f>
        <v>0</v>
      </c>
      <c r="I91" s="10" t="s">
        <v>376</v>
      </c>
      <c r="J91" s="45">
        <f>H91+I91</f>
        <v>0</v>
      </c>
      <c r="K91" s="10" t="s">
        <v>605</v>
      </c>
      <c r="L91" s="45">
        <f>J91+K91</f>
        <v>690</v>
      </c>
      <c r="M91" s="10" t="s">
        <v>376</v>
      </c>
      <c r="N91" s="45">
        <f>L91+M91</f>
        <v>690</v>
      </c>
      <c r="O91" s="10"/>
      <c r="P91" s="45">
        <f>N91+O91</f>
        <v>690</v>
      </c>
      <c r="R91" s="45">
        <v>287.5</v>
      </c>
      <c r="S91" s="117">
        <f t="shared" si="9"/>
        <v>41.66666666666667</v>
      </c>
    </row>
    <row r="92" spans="1:19" ht="33.75" customHeight="1">
      <c r="A92" s="1" t="s">
        <v>320</v>
      </c>
      <c r="B92" s="10">
        <v>901</v>
      </c>
      <c r="C92" s="10" t="s">
        <v>99</v>
      </c>
      <c r="D92" s="10" t="s">
        <v>100</v>
      </c>
      <c r="E92" s="10" t="s">
        <v>315</v>
      </c>
      <c r="F92" s="45">
        <v>0</v>
      </c>
      <c r="G92" s="10" t="s">
        <v>530</v>
      </c>
      <c r="H92" s="45">
        <f>F92+G92</f>
        <v>168250</v>
      </c>
      <c r="I92" s="10" t="s">
        <v>376</v>
      </c>
      <c r="J92" s="45">
        <v>160000</v>
      </c>
      <c r="K92" s="10" t="s">
        <v>606</v>
      </c>
      <c r="L92" s="45">
        <f>J92+K92</f>
        <v>128500</v>
      </c>
      <c r="M92" s="10" t="s">
        <v>679</v>
      </c>
      <c r="N92" s="45">
        <f>L92+M92</f>
        <v>205496</v>
      </c>
      <c r="O92" s="10"/>
      <c r="P92" s="45">
        <f>N92+O92</f>
        <v>205496</v>
      </c>
      <c r="R92" s="45">
        <v>17817.86</v>
      </c>
      <c r="S92" s="117">
        <f t="shared" si="9"/>
        <v>8.670660256160705</v>
      </c>
    </row>
    <row r="93" spans="1:19" ht="33.75" customHeight="1">
      <c r="A93" s="1" t="s">
        <v>321</v>
      </c>
      <c r="B93" s="10">
        <v>901</v>
      </c>
      <c r="C93" s="10" t="s">
        <v>99</v>
      </c>
      <c r="D93" s="10" t="s">
        <v>100</v>
      </c>
      <c r="E93" s="10" t="s">
        <v>316</v>
      </c>
      <c r="F93" s="45">
        <v>0</v>
      </c>
      <c r="G93" s="10" t="s">
        <v>529</v>
      </c>
      <c r="H93" s="45">
        <f>F93+G93</f>
        <v>545650</v>
      </c>
      <c r="I93" s="10" t="s">
        <v>376</v>
      </c>
      <c r="J93" s="45">
        <v>483560</v>
      </c>
      <c r="K93" s="10" t="s">
        <v>607</v>
      </c>
      <c r="L93" s="45">
        <f>J93+K93</f>
        <v>351677</v>
      </c>
      <c r="M93" s="10" t="s">
        <v>680</v>
      </c>
      <c r="N93" s="45">
        <f>L93+M93</f>
        <v>274681</v>
      </c>
      <c r="O93" s="10"/>
      <c r="P93" s="45">
        <f>N93+O93</f>
        <v>274681</v>
      </c>
      <c r="R93" s="45">
        <v>152676.72</v>
      </c>
      <c r="S93" s="117">
        <f t="shared" si="9"/>
        <v>55.58328388203043</v>
      </c>
    </row>
    <row r="94" spans="1:19" ht="31.5">
      <c r="A94" s="1" t="s">
        <v>102</v>
      </c>
      <c r="B94" s="10" t="s">
        <v>36</v>
      </c>
      <c r="C94" s="10" t="s">
        <v>17</v>
      </c>
      <c r="D94" s="10"/>
      <c r="E94" s="10"/>
      <c r="F94" s="45" t="e">
        <f>F95+F105+F113</f>
        <v>#REF!</v>
      </c>
      <c r="G94" s="10"/>
      <c r="H94" s="45">
        <f>H95+H105+H113</f>
        <v>4375500</v>
      </c>
      <c r="I94" s="10"/>
      <c r="J94" s="45">
        <f>J95+J105+J113</f>
        <v>4375500</v>
      </c>
      <c r="K94" s="10"/>
      <c r="L94" s="45">
        <f>L95+L105+L113</f>
        <v>4330500</v>
      </c>
      <c r="M94" s="10"/>
      <c r="N94" s="45">
        <f>N95+N105+N113</f>
        <v>4300500</v>
      </c>
      <c r="O94" s="10"/>
      <c r="P94" s="45">
        <f>P95+P105+P113</f>
        <v>4300500</v>
      </c>
      <c r="R94" s="45">
        <f>R95+R105+R113</f>
        <v>631183.3500000001</v>
      </c>
      <c r="S94" s="117">
        <f t="shared" si="9"/>
        <v>14.676975933031045</v>
      </c>
    </row>
    <row r="95" spans="1:19" ht="63.75" customHeight="1">
      <c r="A95" s="1" t="s">
        <v>549</v>
      </c>
      <c r="B95" s="10">
        <v>901</v>
      </c>
      <c r="C95" s="10" t="s">
        <v>18</v>
      </c>
      <c r="D95" s="10"/>
      <c r="E95" s="10"/>
      <c r="F95" s="45" t="e">
        <f>F96+#REF!</f>
        <v>#REF!</v>
      </c>
      <c r="G95" s="10"/>
      <c r="H95" s="45">
        <f>H96</f>
        <v>2804000</v>
      </c>
      <c r="I95" s="10"/>
      <c r="J95" s="45">
        <f>J96</f>
        <v>2804000</v>
      </c>
      <c r="K95" s="10"/>
      <c r="L95" s="45">
        <f>L96</f>
        <v>2759000</v>
      </c>
      <c r="M95" s="10"/>
      <c r="N95" s="45">
        <f>N96</f>
        <v>2729000</v>
      </c>
      <c r="O95" s="10"/>
      <c r="P95" s="45">
        <f>P96</f>
        <v>2729000</v>
      </c>
      <c r="R95" s="45">
        <f>R96</f>
        <v>432559.21</v>
      </c>
      <c r="S95" s="117">
        <f t="shared" si="9"/>
        <v>15.8504657383657</v>
      </c>
    </row>
    <row r="96" spans="1:19" ht="48" customHeight="1">
      <c r="A96" s="1" t="s">
        <v>103</v>
      </c>
      <c r="B96" s="10">
        <v>901</v>
      </c>
      <c r="C96" s="10" t="s">
        <v>18</v>
      </c>
      <c r="D96" s="10">
        <v>2180000</v>
      </c>
      <c r="E96" s="10"/>
      <c r="F96" s="45" t="e">
        <f>F97+F100</f>
        <v>#REF!</v>
      </c>
      <c r="G96" s="10"/>
      <c r="H96" s="45">
        <f>H97+H100</f>
        <v>2804000</v>
      </c>
      <c r="I96" s="10"/>
      <c r="J96" s="45">
        <f>J97+J100</f>
        <v>2804000</v>
      </c>
      <c r="K96" s="10"/>
      <c r="L96" s="45">
        <f>L97+L100</f>
        <v>2759000</v>
      </c>
      <c r="M96" s="10"/>
      <c r="N96" s="45">
        <f>N97+N100</f>
        <v>2729000</v>
      </c>
      <c r="O96" s="10"/>
      <c r="P96" s="45">
        <f>P97+P100</f>
        <v>2729000</v>
      </c>
      <c r="R96" s="45">
        <f>R97+R100</f>
        <v>432559.21</v>
      </c>
      <c r="S96" s="117">
        <f t="shared" si="9"/>
        <v>15.8504657383657</v>
      </c>
    </row>
    <row r="97" spans="1:19" ht="47.25" customHeight="1">
      <c r="A97" s="1" t="s">
        <v>104</v>
      </c>
      <c r="B97" s="10">
        <v>901</v>
      </c>
      <c r="C97" s="10" t="s">
        <v>18</v>
      </c>
      <c r="D97" s="10" t="s">
        <v>105</v>
      </c>
      <c r="E97" s="10"/>
      <c r="F97" s="46" t="e">
        <f>F99+#REF!+F98</f>
        <v>#REF!</v>
      </c>
      <c r="G97" s="10"/>
      <c r="H97" s="46">
        <f>H99+H98</f>
        <v>1080000</v>
      </c>
      <c r="I97" s="10"/>
      <c r="J97" s="46">
        <f>J99+J98</f>
        <v>1080000</v>
      </c>
      <c r="K97" s="10"/>
      <c r="L97" s="46">
        <f>L99+L98</f>
        <v>1035000</v>
      </c>
      <c r="M97" s="10"/>
      <c r="N97" s="46">
        <f>N99+N98</f>
        <v>1005000</v>
      </c>
      <c r="O97" s="10"/>
      <c r="P97" s="46">
        <f>P99+P98</f>
        <v>1005000</v>
      </c>
      <c r="R97" s="46">
        <f>R99+R98</f>
        <v>87951.21</v>
      </c>
      <c r="S97" s="117">
        <f t="shared" si="9"/>
        <v>8.75136417910448</v>
      </c>
    </row>
    <row r="98" spans="1:19" ht="47.25">
      <c r="A98" s="1" t="s">
        <v>320</v>
      </c>
      <c r="B98" s="10" t="s">
        <v>36</v>
      </c>
      <c r="C98" s="10" t="s">
        <v>18</v>
      </c>
      <c r="D98" s="10" t="s">
        <v>105</v>
      </c>
      <c r="E98" s="10" t="s">
        <v>315</v>
      </c>
      <c r="F98" s="46">
        <v>0</v>
      </c>
      <c r="G98" s="54" t="s">
        <v>376</v>
      </c>
      <c r="H98" s="46">
        <f>F98+G98</f>
        <v>0</v>
      </c>
      <c r="I98" s="54" t="s">
        <v>580</v>
      </c>
      <c r="J98" s="46">
        <f>H98+I98</f>
        <v>18000</v>
      </c>
      <c r="K98" s="54"/>
      <c r="L98" s="46">
        <f>J98+K98</f>
        <v>18000</v>
      </c>
      <c r="M98" s="54"/>
      <c r="N98" s="46">
        <f>L98+M98</f>
        <v>18000</v>
      </c>
      <c r="O98" s="10"/>
      <c r="P98" s="46">
        <f>N98+O98</f>
        <v>18000</v>
      </c>
      <c r="R98" s="46">
        <v>3090</v>
      </c>
      <c r="S98" s="117">
        <f t="shared" si="9"/>
        <v>17.166666666666668</v>
      </c>
    </row>
    <row r="99" spans="1:19" ht="31.5" customHeight="1">
      <c r="A99" s="1" t="s">
        <v>321</v>
      </c>
      <c r="B99" s="10" t="s">
        <v>36</v>
      </c>
      <c r="C99" s="10" t="s">
        <v>18</v>
      </c>
      <c r="D99" s="10" t="s">
        <v>105</v>
      </c>
      <c r="E99" s="10" t="s">
        <v>316</v>
      </c>
      <c r="F99" s="46">
        <v>0</v>
      </c>
      <c r="G99" s="10" t="s">
        <v>424</v>
      </c>
      <c r="H99" s="46">
        <f>F99+G99</f>
        <v>1080000</v>
      </c>
      <c r="I99" s="10" t="s">
        <v>581</v>
      </c>
      <c r="J99" s="46">
        <f>H99+I99</f>
        <v>1062000</v>
      </c>
      <c r="K99" s="10" t="s">
        <v>619</v>
      </c>
      <c r="L99" s="46">
        <f>J99+K99</f>
        <v>1017000</v>
      </c>
      <c r="M99" s="10" t="s">
        <v>672</v>
      </c>
      <c r="N99" s="46">
        <f>L99+M99</f>
        <v>987000</v>
      </c>
      <c r="O99" s="10"/>
      <c r="P99" s="46">
        <f>N99+O99</f>
        <v>987000</v>
      </c>
      <c r="R99" s="46">
        <v>84861.21</v>
      </c>
      <c r="S99" s="117">
        <f t="shared" si="9"/>
        <v>8.597893617021276</v>
      </c>
    </row>
    <row r="100" spans="1:19" ht="61.5" customHeight="1">
      <c r="A100" s="1" t="s">
        <v>397</v>
      </c>
      <c r="B100" s="10" t="s">
        <v>36</v>
      </c>
      <c r="C100" s="39" t="s">
        <v>18</v>
      </c>
      <c r="D100" s="10" t="s">
        <v>398</v>
      </c>
      <c r="E100" s="10"/>
      <c r="F100" s="46">
        <f>F101+F102+F103+F104</f>
        <v>0</v>
      </c>
      <c r="G100" s="10"/>
      <c r="H100" s="46">
        <f>H101+H102+H103+H104</f>
        <v>1724000</v>
      </c>
      <c r="I100" s="10"/>
      <c r="J100" s="46">
        <f>J101+J102+J103+J104</f>
        <v>1724000</v>
      </c>
      <c r="K100" s="10"/>
      <c r="L100" s="46">
        <f>L101+L102+L103+L104</f>
        <v>1724000</v>
      </c>
      <c r="M100" s="10"/>
      <c r="N100" s="46">
        <f>N101+N102+N103+N104</f>
        <v>1724000</v>
      </c>
      <c r="O100" s="10"/>
      <c r="P100" s="46">
        <f>P101+P102+P103+P104</f>
        <v>1724000</v>
      </c>
      <c r="R100" s="46">
        <f>R101+R102+R103+R104</f>
        <v>344608</v>
      </c>
      <c r="S100" s="117">
        <f t="shared" si="9"/>
        <v>19.988863109048722</v>
      </c>
    </row>
    <row r="101" spans="1:19" ht="15.75">
      <c r="A101" s="1" t="s">
        <v>318</v>
      </c>
      <c r="B101" s="10" t="s">
        <v>36</v>
      </c>
      <c r="C101" s="10" t="s">
        <v>18</v>
      </c>
      <c r="D101" s="10" t="s">
        <v>398</v>
      </c>
      <c r="E101" s="10" t="s">
        <v>313</v>
      </c>
      <c r="F101" s="46">
        <v>0</v>
      </c>
      <c r="G101" s="10" t="s">
        <v>430</v>
      </c>
      <c r="H101" s="46">
        <f>F101+G101</f>
        <v>1328246</v>
      </c>
      <c r="I101" s="10" t="s">
        <v>376</v>
      </c>
      <c r="J101" s="46">
        <f>H101+I101</f>
        <v>1328246</v>
      </c>
      <c r="K101" s="10"/>
      <c r="L101" s="46">
        <f>J101+K101</f>
        <v>1328246</v>
      </c>
      <c r="M101" s="10"/>
      <c r="N101" s="46">
        <f>L101+M101</f>
        <v>1328246</v>
      </c>
      <c r="O101" s="10"/>
      <c r="P101" s="46">
        <f>N101+O101</f>
        <v>1328246</v>
      </c>
      <c r="R101" s="46">
        <v>313186.58</v>
      </c>
      <c r="S101" s="117">
        <f t="shared" si="9"/>
        <v>23.57895901813369</v>
      </c>
    </row>
    <row r="102" spans="1:19" ht="31.5">
      <c r="A102" s="1" t="s">
        <v>319</v>
      </c>
      <c r="B102" s="10" t="s">
        <v>36</v>
      </c>
      <c r="C102" s="10" t="s">
        <v>18</v>
      </c>
      <c r="D102" s="10" t="s">
        <v>398</v>
      </c>
      <c r="E102" s="10" t="s">
        <v>314</v>
      </c>
      <c r="F102" s="46">
        <v>0</v>
      </c>
      <c r="G102" s="10" t="s">
        <v>431</v>
      </c>
      <c r="H102" s="46">
        <f>F102+G102</f>
        <v>46000</v>
      </c>
      <c r="I102" s="10" t="s">
        <v>376</v>
      </c>
      <c r="J102" s="46">
        <f>H102+I102</f>
        <v>46000</v>
      </c>
      <c r="K102" s="10"/>
      <c r="L102" s="46">
        <f>J102+K102</f>
        <v>46000</v>
      </c>
      <c r="M102" s="10"/>
      <c r="N102" s="46">
        <f>L102+M102</f>
        <v>46000</v>
      </c>
      <c r="O102" s="10"/>
      <c r="P102" s="46">
        <f>N102+O102</f>
        <v>46000</v>
      </c>
      <c r="R102" s="46">
        <v>0</v>
      </c>
      <c r="S102" s="117">
        <f t="shared" si="9"/>
        <v>0</v>
      </c>
    </row>
    <row r="103" spans="1:19" ht="46.5" customHeight="1">
      <c r="A103" s="1" t="s">
        <v>320</v>
      </c>
      <c r="B103" s="10" t="s">
        <v>36</v>
      </c>
      <c r="C103" s="10" t="s">
        <v>18</v>
      </c>
      <c r="D103" s="10" t="s">
        <v>398</v>
      </c>
      <c r="E103" s="10" t="s">
        <v>315</v>
      </c>
      <c r="F103" s="46">
        <v>0</v>
      </c>
      <c r="G103" s="10" t="s">
        <v>432</v>
      </c>
      <c r="H103" s="46">
        <f>F103+G103</f>
        <v>91000</v>
      </c>
      <c r="I103" s="10" t="s">
        <v>376</v>
      </c>
      <c r="J103" s="46">
        <f>H103+I103</f>
        <v>91000</v>
      </c>
      <c r="K103" s="10" t="s">
        <v>656</v>
      </c>
      <c r="L103" s="46">
        <f>J103+K103</f>
        <v>138400</v>
      </c>
      <c r="M103" s="10" t="s">
        <v>376</v>
      </c>
      <c r="N103" s="46">
        <f>L103+M103</f>
        <v>138400</v>
      </c>
      <c r="O103" s="10"/>
      <c r="P103" s="46">
        <f>N103+O103</f>
        <v>138400</v>
      </c>
      <c r="R103" s="46">
        <v>13102.42</v>
      </c>
      <c r="S103" s="117">
        <f t="shared" si="9"/>
        <v>9.467066473988439</v>
      </c>
    </row>
    <row r="104" spans="1:19" ht="31.5">
      <c r="A104" s="1" t="s">
        <v>365</v>
      </c>
      <c r="B104" s="10" t="s">
        <v>36</v>
      </c>
      <c r="C104" s="10" t="s">
        <v>18</v>
      </c>
      <c r="D104" s="10" t="s">
        <v>398</v>
      </c>
      <c r="E104" s="10" t="s">
        <v>316</v>
      </c>
      <c r="F104" s="46">
        <v>0</v>
      </c>
      <c r="G104" s="10" t="s">
        <v>433</v>
      </c>
      <c r="H104" s="46">
        <f>F104+G104</f>
        <v>258754</v>
      </c>
      <c r="I104" s="10" t="s">
        <v>376</v>
      </c>
      <c r="J104" s="46">
        <f>H104+I104</f>
        <v>258754</v>
      </c>
      <c r="K104" s="10" t="s">
        <v>657</v>
      </c>
      <c r="L104" s="46">
        <f>J104+K104</f>
        <v>211354</v>
      </c>
      <c r="M104" s="10" t="s">
        <v>376</v>
      </c>
      <c r="N104" s="46">
        <f>L104+M104</f>
        <v>211354</v>
      </c>
      <c r="O104" s="10"/>
      <c r="P104" s="46">
        <f>N104+O104</f>
        <v>211354</v>
      </c>
      <c r="R104" s="46">
        <v>18319</v>
      </c>
      <c r="S104" s="117">
        <f t="shared" si="9"/>
        <v>8.66744892455312</v>
      </c>
    </row>
    <row r="105" spans="1:19" ht="15.75">
      <c r="A105" s="1" t="s">
        <v>106</v>
      </c>
      <c r="B105" s="10">
        <v>901</v>
      </c>
      <c r="C105" s="10" t="s">
        <v>19</v>
      </c>
      <c r="D105" s="10"/>
      <c r="E105" s="10"/>
      <c r="F105" s="45" t="e">
        <f>F106+F109</f>
        <v>#REF!</v>
      </c>
      <c r="G105" s="10"/>
      <c r="H105" s="45">
        <f>H106+H109</f>
        <v>1338000</v>
      </c>
      <c r="I105" s="10"/>
      <c r="J105" s="45">
        <f>J106+J109</f>
        <v>1338000</v>
      </c>
      <c r="K105" s="10"/>
      <c r="L105" s="45">
        <f>L106+L109</f>
        <v>1338000</v>
      </c>
      <c r="M105" s="10"/>
      <c r="N105" s="45">
        <f>N106+N109</f>
        <v>1338000</v>
      </c>
      <c r="O105" s="10"/>
      <c r="P105" s="45">
        <f>P106+P109</f>
        <v>1338000</v>
      </c>
      <c r="R105" s="45">
        <f>R106+R109</f>
        <v>198624.14</v>
      </c>
      <c r="S105" s="117">
        <f t="shared" si="9"/>
        <v>14.84485351270553</v>
      </c>
    </row>
    <row r="106" spans="1:19" ht="48.75" customHeight="1">
      <c r="A106" s="24" t="s">
        <v>737</v>
      </c>
      <c r="B106" s="10">
        <v>901</v>
      </c>
      <c r="C106" s="10" t="s">
        <v>19</v>
      </c>
      <c r="D106" s="10" t="s">
        <v>610</v>
      </c>
      <c r="E106" s="10"/>
      <c r="F106" s="45" t="e">
        <f>F107</f>
        <v>#REF!</v>
      </c>
      <c r="G106" s="10"/>
      <c r="H106" s="45">
        <f>H107</f>
        <v>381000</v>
      </c>
      <c r="I106" s="10"/>
      <c r="J106" s="45">
        <f>J107</f>
        <v>381000</v>
      </c>
      <c r="K106" s="10"/>
      <c r="L106" s="45">
        <f>L107</f>
        <v>381000</v>
      </c>
      <c r="M106" s="10"/>
      <c r="N106" s="45">
        <f>N107</f>
        <v>381000</v>
      </c>
      <c r="O106" s="10"/>
      <c r="P106" s="45">
        <f>P107</f>
        <v>381000</v>
      </c>
      <c r="R106" s="45">
        <f>R107</f>
        <v>164509.14</v>
      </c>
      <c r="S106" s="117">
        <f t="shared" si="9"/>
        <v>43.178251968503936</v>
      </c>
    </row>
    <row r="107" spans="1:19" ht="34.5" customHeight="1">
      <c r="A107" s="24" t="s">
        <v>738</v>
      </c>
      <c r="B107" s="10" t="s">
        <v>36</v>
      </c>
      <c r="C107" s="10" t="s">
        <v>19</v>
      </c>
      <c r="D107" s="10" t="s">
        <v>611</v>
      </c>
      <c r="E107" s="10"/>
      <c r="F107" s="46" t="e">
        <f>F108+#REF!</f>
        <v>#REF!</v>
      </c>
      <c r="G107" s="10"/>
      <c r="H107" s="46">
        <f>H108</f>
        <v>381000</v>
      </c>
      <c r="I107" s="10"/>
      <c r="J107" s="46">
        <f>J108</f>
        <v>381000</v>
      </c>
      <c r="K107" s="10"/>
      <c r="L107" s="46">
        <f>L108</f>
        <v>381000</v>
      </c>
      <c r="M107" s="10"/>
      <c r="N107" s="46">
        <f>N108</f>
        <v>381000</v>
      </c>
      <c r="O107" s="10"/>
      <c r="P107" s="46">
        <f>P108</f>
        <v>381000</v>
      </c>
      <c r="R107" s="46">
        <f>R108</f>
        <v>164509.14</v>
      </c>
      <c r="S107" s="117">
        <f t="shared" si="9"/>
        <v>43.178251968503936</v>
      </c>
    </row>
    <row r="108" spans="1:19" ht="39" customHeight="1">
      <c r="A108" s="1" t="s">
        <v>321</v>
      </c>
      <c r="B108" s="10" t="s">
        <v>36</v>
      </c>
      <c r="C108" s="10" t="s">
        <v>19</v>
      </c>
      <c r="D108" s="10" t="s">
        <v>611</v>
      </c>
      <c r="E108" s="10" t="s">
        <v>316</v>
      </c>
      <c r="F108" s="46">
        <v>0</v>
      </c>
      <c r="G108" s="68">
        <v>381000</v>
      </c>
      <c r="H108" s="46">
        <f>F108+G108</f>
        <v>381000</v>
      </c>
      <c r="I108" s="68">
        <v>0</v>
      </c>
      <c r="J108" s="46">
        <f>H108+I108</f>
        <v>381000</v>
      </c>
      <c r="K108" s="68"/>
      <c r="L108" s="46">
        <f>J108+K108</f>
        <v>381000</v>
      </c>
      <c r="M108" s="68"/>
      <c r="N108" s="46">
        <f>L108+M108</f>
        <v>381000</v>
      </c>
      <c r="O108" s="68"/>
      <c r="P108" s="46">
        <f>N108+O108</f>
        <v>381000</v>
      </c>
      <c r="R108" s="46">
        <v>164509.14</v>
      </c>
      <c r="S108" s="117">
        <f t="shared" si="9"/>
        <v>43.178251968503936</v>
      </c>
    </row>
    <row r="109" spans="1:19" ht="84.75" customHeight="1">
      <c r="A109" s="44" t="s">
        <v>296</v>
      </c>
      <c r="B109" s="30" t="s">
        <v>36</v>
      </c>
      <c r="C109" s="39" t="s">
        <v>19</v>
      </c>
      <c r="D109" s="30" t="s">
        <v>280</v>
      </c>
      <c r="E109" s="30"/>
      <c r="F109" s="47">
        <f>F110</f>
        <v>0</v>
      </c>
      <c r="G109" s="30"/>
      <c r="H109" s="47">
        <f>H110</f>
        <v>957000</v>
      </c>
      <c r="I109" s="30" t="s">
        <v>376</v>
      </c>
      <c r="J109" s="47">
        <f>J110</f>
        <v>957000</v>
      </c>
      <c r="K109" s="30"/>
      <c r="L109" s="47">
        <f>L110</f>
        <v>957000</v>
      </c>
      <c r="M109" s="30"/>
      <c r="N109" s="47">
        <f>N110</f>
        <v>957000</v>
      </c>
      <c r="O109" s="30"/>
      <c r="P109" s="47">
        <f>P110</f>
        <v>957000</v>
      </c>
      <c r="R109" s="47">
        <f>R110</f>
        <v>34115</v>
      </c>
      <c r="S109" s="117">
        <f t="shared" si="9"/>
        <v>3.5647857889237202</v>
      </c>
    </row>
    <row r="110" spans="1:19" ht="32.25" customHeight="1">
      <c r="A110" s="1" t="s">
        <v>321</v>
      </c>
      <c r="B110" s="30" t="s">
        <v>36</v>
      </c>
      <c r="C110" s="39" t="s">
        <v>19</v>
      </c>
      <c r="D110" s="30" t="s">
        <v>280</v>
      </c>
      <c r="E110" s="30" t="s">
        <v>316</v>
      </c>
      <c r="F110" s="47">
        <v>0</v>
      </c>
      <c r="G110" s="30" t="s">
        <v>482</v>
      </c>
      <c r="H110" s="47">
        <f>F110+G110</f>
        <v>957000</v>
      </c>
      <c r="I110" s="30" t="s">
        <v>376</v>
      </c>
      <c r="J110" s="47">
        <f>H110+I110</f>
        <v>957000</v>
      </c>
      <c r="K110" s="30"/>
      <c r="L110" s="47">
        <f>J110+K110</f>
        <v>957000</v>
      </c>
      <c r="M110" s="30"/>
      <c r="N110" s="47">
        <f>L110+M110</f>
        <v>957000</v>
      </c>
      <c r="O110" s="30"/>
      <c r="P110" s="47">
        <f>N110+O110</f>
        <v>957000</v>
      </c>
      <c r="R110" s="47">
        <v>34115</v>
      </c>
      <c r="S110" s="117">
        <f t="shared" si="9"/>
        <v>3.5647857889237202</v>
      </c>
    </row>
    <row r="111" spans="1:19" ht="32.25" customHeight="1">
      <c r="A111" s="1" t="s">
        <v>608</v>
      </c>
      <c r="B111" s="10">
        <v>901</v>
      </c>
      <c r="C111" s="10" t="s">
        <v>609</v>
      </c>
      <c r="D111" s="10"/>
      <c r="E111" s="10"/>
      <c r="F111" s="45" t="e">
        <f>F113</f>
        <v>#REF!</v>
      </c>
      <c r="G111" s="10"/>
      <c r="H111" s="45">
        <f>H113</f>
        <v>233500</v>
      </c>
      <c r="I111" s="10"/>
      <c r="J111" s="45">
        <f>J113</f>
        <v>233500</v>
      </c>
      <c r="K111" s="10"/>
      <c r="L111" s="45">
        <f>L112</f>
        <v>233500</v>
      </c>
      <c r="M111" s="10"/>
      <c r="N111" s="45">
        <f>N112</f>
        <v>233500</v>
      </c>
      <c r="O111" s="10"/>
      <c r="P111" s="45">
        <f>P112</f>
        <v>233500</v>
      </c>
      <c r="R111" s="45">
        <f>R112</f>
        <v>0</v>
      </c>
      <c r="S111" s="117">
        <f t="shared" si="9"/>
        <v>0</v>
      </c>
    </row>
    <row r="112" spans="1:19" ht="15.75">
      <c r="A112" s="84" t="s">
        <v>307</v>
      </c>
      <c r="B112" s="10" t="s">
        <v>36</v>
      </c>
      <c r="C112" s="10" t="s">
        <v>609</v>
      </c>
      <c r="D112" s="10" t="s">
        <v>78</v>
      </c>
      <c r="E112" s="10"/>
      <c r="F112" s="45"/>
      <c r="G112" s="10"/>
      <c r="H112" s="45"/>
      <c r="I112" s="10"/>
      <c r="J112" s="45"/>
      <c r="K112" s="10"/>
      <c r="L112" s="45">
        <f>L113</f>
        <v>233500</v>
      </c>
      <c r="M112" s="10"/>
      <c r="N112" s="45">
        <f>N113</f>
        <v>233500</v>
      </c>
      <c r="O112" s="10"/>
      <c r="P112" s="45">
        <f>P113</f>
        <v>233500</v>
      </c>
      <c r="R112" s="45">
        <f>R113</f>
        <v>0</v>
      </c>
      <c r="S112" s="117">
        <f t="shared" si="9"/>
        <v>0</v>
      </c>
    </row>
    <row r="113" spans="1:19" ht="81.75" customHeight="1">
      <c r="A113" s="26" t="s">
        <v>308</v>
      </c>
      <c r="B113" s="10">
        <v>901</v>
      </c>
      <c r="C113" s="10" t="s">
        <v>609</v>
      </c>
      <c r="D113" s="10" t="s">
        <v>258</v>
      </c>
      <c r="E113" s="10"/>
      <c r="F113" s="45" t="e">
        <f>#REF!+F114</f>
        <v>#REF!</v>
      </c>
      <c r="G113" s="10"/>
      <c r="H113" s="45">
        <f>H114</f>
        <v>233500</v>
      </c>
      <c r="I113" s="10"/>
      <c r="J113" s="45">
        <f>J114</f>
        <v>233500</v>
      </c>
      <c r="K113" s="10"/>
      <c r="L113" s="45">
        <f>L114</f>
        <v>233500</v>
      </c>
      <c r="M113" s="10"/>
      <c r="N113" s="45">
        <f>N114</f>
        <v>233500</v>
      </c>
      <c r="O113" s="10"/>
      <c r="P113" s="45">
        <f>P114</f>
        <v>233500</v>
      </c>
      <c r="R113" s="45">
        <f>R114</f>
        <v>0</v>
      </c>
      <c r="S113" s="117">
        <f t="shared" si="9"/>
        <v>0</v>
      </c>
    </row>
    <row r="114" spans="1:19" ht="31.5">
      <c r="A114" s="1" t="s">
        <v>321</v>
      </c>
      <c r="B114" s="10" t="s">
        <v>36</v>
      </c>
      <c r="C114" s="10" t="s">
        <v>609</v>
      </c>
      <c r="D114" s="10" t="s">
        <v>258</v>
      </c>
      <c r="E114" s="10" t="s">
        <v>316</v>
      </c>
      <c r="F114" s="45">
        <v>0</v>
      </c>
      <c r="G114" s="10" t="s">
        <v>426</v>
      </c>
      <c r="H114" s="45">
        <f>F114+G114</f>
        <v>233500</v>
      </c>
      <c r="I114" s="10" t="s">
        <v>376</v>
      </c>
      <c r="J114" s="45">
        <f>H114+I114</f>
        <v>233500</v>
      </c>
      <c r="K114" s="10"/>
      <c r="L114" s="45">
        <f>J114+K114</f>
        <v>233500</v>
      </c>
      <c r="M114" s="10"/>
      <c r="N114" s="45">
        <f>L114+M114</f>
        <v>233500</v>
      </c>
      <c r="O114" s="10"/>
      <c r="P114" s="45">
        <f>N114+O114</f>
        <v>233500</v>
      </c>
      <c r="R114" s="45">
        <v>0</v>
      </c>
      <c r="S114" s="117">
        <f t="shared" si="9"/>
        <v>0</v>
      </c>
    </row>
    <row r="115" spans="1:19" ht="15.75">
      <c r="A115" s="1" t="s">
        <v>144</v>
      </c>
      <c r="B115" s="10">
        <v>901</v>
      </c>
      <c r="C115" s="10" t="s">
        <v>20</v>
      </c>
      <c r="D115" s="10"/>
      <c r="E115" s="10"/>
      <c r="F115" s="45" t="e">
        <f>F116+F120+F155+F127+F150+F134</f>
        <v>#REF!</v>
      </c>
      <c r="G115" s="10"/>
      <c r="H115" s="45" t="e">
        <f>H116+H120+H155+H127+H150+H134</f>
        <v>#REF!</v>
      </c>
      <c r="I115" s="10" t="s">
        <v>376</v>
      </c>
      <c r="J115" s="45">
        <f>J116+J120+J155+J127+J150+J134</f>
        <v>17742660</v>
      </c>
      <c r="K115" s="10"/>
      <c r="L115" s="45">
        <f>L116+L120+L155+L127+L150+L134</f>
        <v>29808485.5</v>
      </c>
      <c r="M115" s="10"/>
      <c r="N115" s="45">
        <f>N116+N120+N155+N127+N150+N134</f>
        <v>28542182.3</v>
      </c>
      <c r="O115" s="10"/>
      <c r="P115" s="45">
        <f>P116+P120+P155+P127+P150+P134</f>
        <v>26486906.630000003</v>
      </c>
      <c r="R115" s="45">
        <f>R116+R120+R155+R127+R150+R134</f>
        <v>4177418.58</v>
      </c>
      <c r="S115" s="117">
        <f t="shared" si="9"/>
        <v>15.77163629696383</v>
      </c>
    </row>
    <row r="116" spans="1:19" ht="15.75">
      <c r="A116" s="1" t="s">
        <v>145</v>
      </c>
      <c r="B116" s="10" t="s">
        <v>36</v>
      </c>
      <c r="C116" s="10" t="s">
        <v>21</v>
      </c>
      <c r="D116" s="10"/>
      <c r="E116" s="10"/>
      <c r="F116" s="45">
        <f>F117</f>
        <v>0</v>
      </c>
      <c r="G116" s="10"/>
      <c r="H116" s="45">
        <f>H117</f>
        <v>85000</v>
      </c>
      <c r="I116" s="10"/>
      <c r="J116" s="45">
        <f>J117</f>
        <v>85000</v>
      </c>
      <c r="K116" s="10"/>
      <c r="L116" s="45">
        <f>L117</f>
        <v>85000</v>
      </c>
      <c r="M116" s="10"/>
      <c r="N116" s="45">
        <f>N117</f>
        <v>85000</v>
      </c>
      <c r="O116" s="10"/>
      <c r="P116" s="45">
        <f>P117</f>
        <v>85000</v>
      </c>
      <c r="R116" s="45">
        <f>R117</f>
        <v>56000</v>
      </c>
      <c r="S116" s="117">
        <f t="shared" si="9"/>
        <v>65.88235294117646</v>
      </c>
    </row>
    <row r="117" spans="1:19" ht="15.75">
      <c r="A117" s="84" t="s">
        <v>307</v>
      </c>
      <c r="B117" s="10" t="s">
        <v>36</v>
      </c>
      <c r="C117" s="10" t="s">
        <v>21</v>
      </c>
      <c r="D117" s="10"/>
      <c r="E117" s="10"/>
      <c r="F117" s="45">
        <f>F119</f>
        <v>0</v>
      </c>
      <c r="G117" s="10"/>
      <c r="H117" s="45">
        <f>H119</f>
        <v>85000</v>
      </c>
      <c r="I117" s="10"/>
      <c r="J117" s="45">
        <f>J119</f>
        <v>85000</v>
      </c>
      <c r="K117" s="10"/>
      <c r="L117" s="45">
        <f>L119</f>
        <v>85000</v>
      </c>
      <c r="M117" s="10"/>
      <c r="N117" s="45">
        <f>N119</f>
        <v>85000</v>
      </c>
      <c r="O117" s="10"/>
      <c r="P117" s="45">
        <f>P119</f>
        <v>85000</v>
      </c>
      <c r="R117" s="45">
        <f>R119</f>
        <v>56000</v>
      </c>
      <c r="S117" s="117">
        <f t="shared" si="9"/>
        <v>65.88235294117646</v>
      </c>
    </row>
    <row r="118" spans="1:19" ht="17.25" customHeight="1">
      <c r="A118" s="1" t="s">
        <v>550</v>
      </c>
      <c r="B118" s="10" t="s">
        <v>36</v>
      </c>
      <c r="C118" s="10" t="s">
        <v>21</v>
      </c>
      <c r="D118" s="10" t="s">
        <v>301</v>
      </c>
      <c r="E118" s="10"/>
      <c r="F118" s="45">
        <f>F119</f>
        <v>0</v>
      </c>
      <c r="G118" s="10"/>
      <c r="H118" s="45">
        <f>H119</f>
        <v>85000</v>
      </c>
      <c r="I118" s="10"/>
      <c r="J118" s="45">
        <f>J119</f>
        <v>85000</v>
      </c>
      <c r="K118" s="10"/>
      <c r="L118" s="45">
        <f>L119</f>
        <v>85000</v>
      </c>
      <c r="M118" s="10"/>
      <c r="N118" s="45">
        <f>N119</f>
        <v>85000</v>
      </c>
      <c r="O118" s="10"/>
      <c r="P118" s="45">
        <f>P119</f>
        <v>85000</v>
      </c>
      <c r="R118" s="45">
        <f>R119</f>
        <v>56000</v>
      </c>
      <c r="S118" s="117">
        <f t="shared" si="9"/>
        <v>65.88235294117646</v>
      </c>
    </row>
    <row r="119" spans="1:19" ht="17.25" customHeight="1">
      <c r="A119" s="1" t="s">
        <v>327</v>
      </c>
      <c r="B119" s="10" t="s">
        <v>36</v>
      </c>
      <c r="C119" s="10" t="s">
        <v>21</v>
      </c>
      <c r="D119" s="10" t="s">
        <v>301</v>
      </c>
      <c r="E119" s="10" t="s">
        <v>326</v>
      </c>
      <c r="F119" s="45">
        <v>0</v>
      </c>
      <c r="G119" s="10" t="s">
        <v>534</v>
      </c>
      <c r="H119" s="45">
        <f>F119+G119</f>
        <v>85000</v>
      </c>
      <c r="I119" s="10" t="s">
        <v>376</v>
      </c>
      <c r="J119" s="45">
        <f>H119+I119</f>
        <v>85000</v>
      </c>
      <c r="K119" s="10"/>
      <c r="L119" s="45">
        <f>J119+K119</f>
        <v>85000</v>
      </c>
      <c r="M119" s="10"/>
      <c r="N119" s="45">
        <f>L119+M119</f>
        <v>85000</v>
      </c>
      <c r="O119" s="10"/>
      <c r="P119" s="45">
        <f>N119+O119</f>
        <v>85000</v>
      </c>
      <c r="R119" s="45">
        <v>56000</v>
      </c>
      <c r="S119" s="117">
        <f t="shared" si="9"/>
        <v>65.88235294117646</v>
      </c>
    </row>
    <row r="120" spans="1:19" ht="16.5" customHeight="1">
      <c r="A120" s="1" t="s">
        <v>391</v>
      </c>
      <c r="B120" s="10" t="s">
        <v>36</v>
      </c>
      <c r="C120" s="10" t="s">
        <v>22</v>
      </c>
      <c r="D120" s="10"/>
      <c r="E120" s="10"/>
      <c r="F120" s="45" t="e">
        <f>F125+#REF!</f>
        <v>#REF!</v>
      </c>
      <c r="G120" s="10"/>
      <c r="H120" s="45">
        <f>H125</f>
        <v>1899000</v>
      </c>
      <c r="I120" s="10"/>
      <c r="J120" s="45">
        <f>J125</f>
        <v>1899000</v>
      </c>
      <c r="K120" s="10"/>
      <c r="L120" s="45">
        <f>L125</f>
        <v>1899000</v>
      </c>
      <c r="M120" s="10"/>
      <c r="N120" s="45">
        <f>N125</f>
        <v>1899000</v>
      </c>
      <c r="O120" s="10"/>
      <c r="P120" s="45">
        <f>P125</f>
        <v>1899000</v>
      </c>
      <c r="R120" s="45">
        <f>R125</f>
        <v>352999.91</v>
      </c>
      <c r="S120" s="117">
        <f t="shared" si="9"/>
        <v>18.588726171669297</v>
      </c>
    </row>
    <row r="121" spans="1:19" ht="0.75" customHeight="1" hidden="1">
      <c r="A121" s="1" t="s">
        <v>68</v>
      </c>
      <c r="B121" s="10" t="s">
        <v>36</v>
      </c>
      <c r="C121" s="10" t="s">
        <v>22</v>
      </c>
      <c r="D121" s="10">
        <v>2800000</v>
      </c>
      <c r="E121" s="10"/>
      <c r="F121" s="45">
        <f>F122</f>
        <v>0</v>
      </c>
      <c r="G121" s="10"/>
      <c r="H121" s="45">
        <f>H122</f>
        <v>0</v>
      </c>
      <c r="I121" s="10"/>
      <c r="J121" s="45">
        <f>J122</f>
        <v>0</v>
      </c>
      <c r="K121" s="10"/>
      <c r="L121" s="45">
        <f>L122</f>
        <v>0</v>
      </c>
      <c r="M121" s="10"/>
      <c r="N121" s="45">
        <f>N122</f>
        <v>0</v>
      </c>
      <c r="O121" s="10"/>
      <c r="P121" s="45">
        <f>P122</f>
        <v>0</v>
      </c>
      <c r="R121" s="45">
        <f>R122</f>
        <v>0</v>
      </c>
      <c r="S121" s="117" t="e">
        <f t="shared" si="9"/>
        <v>#DIV/0!</v>
      </c>
    </row>
    <row r="122" spans="1:19" ht="14.25" customHeight="1" hidden="1">
      <c r="A122" s="1" t="s">
        <v>69</v>
      </c>
      <c r="B122" s="10" t="s">
        <v>36</v>
      </c>
      <c r="C122" s="10" t="s">
        <v>22</v>
      </c>
      <c r="D122" s="10" t="s">
        <v>70</v>
      </c>
      <c r="E122" s="10"/>
      <c r="F122" s="45">
        <f>F123+F124</f>
        <v>0</v>
      </c>
      <c r="G122" s="10"/>
      <c r="H122" s="45">
        <f>H123+H124</f>
        <v>0</v>
      </c>
      <c r="I122" s="10"/>
      <c r="J122" s="45">
        <f>J123+J124</f>
        <v>0</v>
      </c>
      <c r="K122" s="10"/>
      <c r="L122" s="45">
        <f>L123+L124</f>
        <v>0</v>
      </c>
      <c r="M122" s="10"/>
      <c r="N122" s="45">
        <f>N123+N124</f>
        <v>0</v>
      </c>
      <c r="O122" s="10"/>
      <c r="P122" s="45">
        <f>P123+P124</f>
        <v>0</v>
      </c>
      <c r="R122" s="45">
        <f>R123+R124</f>
        <v>0</v>
      </c>
      <c r="S122" s="117" t="e">
        <f t="shared" si="9"/>
        <v>#DIV/0!</v>
      </c>
    </row>
    <row r="123" spans="1:19" ht="15" customHeight="1" hidden="1">
      <c r="A123" s="3" t="s">
        <v>41</v>
      </c>
      <c r="B123" s="10" t="s">
        <v>36</v>
      </c>
      <c r="C123" s="10" t="s">
        <v>22</v>
      </c>
      <c r="D123" s="10" t="s">
        <v>70</v>
      </c>
      <c r="E123" s="10" t="s">
        <v>42</v>
      </c>
      <c r="F123" s="45">
        <v>0</v>
      </c>
      <c r="G123" s="10"/>
      <c r="H123" s="45">
        <v>0</v>
      </c>
      <c r="I123" s="10"/>
      <c r="J123" s="45">
        <v>0</v>
      </c>
      <c r="K123" s="10"/>
      <c r="L123" s="45">
        <v>0</v>
      </c>
      <c r="M123" s="10"/>
      <c r="N123" s="45">
        <v>0</v>
      </c>
      <c r="O123" s="10"/>
      <c r="P123" s="45">
        <v>0</v>
      </c>
      <c r="R123" s="45">
        <v>0</v>
      </c>
      <c r="S123" s="117" t="e">
        <f t="shared" si="9"/>
        <v>#DIV/0!</v>
      </c>
    </row>
    <row r="124" spans="1:19" ht="29.25" customHeight="1" hidden="1">
      <c r="A124" s="1" t="s">
        <v>41</v>
      </c>
      <c r="B124" s="10" t="s">
        <v>36</v>
      </c>
      <c r="C124" s="10" t="s">
        <v>22</v>
      </c>
      <c r="D124" s="10" t="s">
        <v>70</v>
      </c>
      <c r="E124" s="10" t="s">
        <v>42</v>
      </c>
      <c r="F124" s="45">
        <v>0</v>
      </c>
      <c r="G124" s="10"/>
      <c r="H124" s="45">
        <v>0</v>
      </c>
      <c r="I124" s="10"/>
      <c r="J124" s="45">
        <v>0</v>
      </c>
      <c r="K124" s="10"/>
      <c r="L124" s="45">
        <v>0</v>
      </c>
      <c r="M124" s="10"/>
      <c r="N124" s="45">
        <v>0</v>
      </c>
      <c r="O124" s="10"/>
      <c r="P124" s="45">
        <v>0</v>
      </c>
      <c r="R124" s="45">
        <v>0</v>
      </c>
      <c r="S124" s="117" t="e">
        <f t="shared" si="9"/>
        <v>#DIV/0!</v>
      </c>
    </row>
    <row r="125" spans="1:19" ht="82.5" customHeight="1">
      <c r="A125" s="3" t="s">
        <v>582</v>
      </c>
      <c r="B125" s="39" t="s">
        <v>36</v>
      </c>
      <c r="C125" s="39" t="s">
        <v>22</v>
      </c>
      <c r="D125" s="39" t="s">
        <v>195</v>
      </c>
      <c r="E125" s="39"/>
      <c r="F125" s="45" t="e">
        <f>#REF!+F126</f>
        <v>#REF!</v>
      </c>
      <c r="G125" s="39"/>
      <c r="H125" s="45">
        <f>H126</f>
        <v>1899000</v>
      </c>
      <c r="I125" s="39"/>
      <c r="J125" s="45">
        <f>J126</f>
        <v>1899000</v>
      </c>
      <c r="K125" s="39"/>
      <c r="L125" s="45">
        <f>L126</f>
        <v>1899000</v>
      </c>
      <c r="M125" s="39"/>
      <c r="N125" s="45">
        <f>N126</f>
        <v>1899000</v>
      </c>
      <c r="O125" s="39"/>
      <c r="P125" s="45">
        <f>P126</f>
        <v>1899000</v>
      </c>
      <c r="R125" s="45">
        <f>R126</f>
        <v>352999.91</v>
      </c>
      <c r="S125" s="117">
        <f t="shared" si="9"/>
        <v>18.588726171669297</v>
      </c>
    </row>
    <row r="126" spans="1:19" ht="36.75" customHeight="1">
      <c r="A126" s="3" t="s">
        <v>373</v>
      </c>
      <c r="B126" s="10" t="s">
        <v>36</v>
      </c>
      <c r="C126" s="10" t="s">
        <v>22</v>
      </c>
      <c r="D126" s="10" t="s">
        <v>195</v>
      </c>
      <c r="E126" s="10" t="s">
        <v>316</v>
      </c>
      <c r="F126" s="45">
        <v>0</v>
      </c>
      <c r="G126" s="76">
        <v>1899000</v>
      </c>
      <c r="H126" s="45">
        <f>F126+G126</f>
        <v>1899000</v>
      </c>
      <c r="I126" s="76">
        <v>0</v>
      </c>
      <c r="J126" s="45">
        <f>H126+I126</f>
        <v>1899000</v>
      </c>
      <c r="K126" s="76"/>
      <c r="L126" s="45">
        <f>J126+K126</f>
        <v>1899000</v>
      </c>
      <c r="M126" s="76"/>
      <c r="N126" s="45">
        <f>L126+M126</f>
        <v>1899000</v>
      </c>
      <c r="O126" s="76"/>
      <c r="P126" s="45">
        <f>N126+O126</f>
        <v>1899000</v>
      </c>
      <c r="R126" s="45">
        <v>352999.91</v>
      </c>
      <c r="S126" s="117">
        <f t="shared" si="9"/>
        <v>18.588726171669297</v>
      </c>
    </row>
    <row r="127" spans="1:19" ht="18" customHeight="1">
      <c r="A127" s="1" t="s">
        <v>63</v>
      </c>
      <c r="B127" s="10" t="s">
        <v>36</v>
      </c>
      <c r="C127" s="10" t="s">
        <v>64</v>
      </c>
      <c r="D127" s="10"/>
      <c r="E127" s="10"/>
      <c r="F127" s="45">
        <f>F128</f>
        <v>0</v>
      </c>
      <c r="G127" s="10"/>
      <c r="H127" s="45">
        <f>H128</f>
        <v>720000</v>
      </c>
      <c r="I127" s="10"/>
      <c r="J127" s="45">
        <f>J128</f>
        <v>720000</v>
      </c>
      <c r="K127" s="10"/>
      <c r="L127" s="45">
        <f>L128</f>
        <v>720000</v>
      </c>
      <c r="M127" s="10"/>
      <c r="N127" s="45">
        <f>N128</f>
        <v>220000</v>
      </c>
      <c r="O127" s="10"/>
      <c r="P127" s="45">
        <f>P128</f>
        <v>220000</v>
      </c>
      <c r="R127" s="45">
        <f>R128</f>
        <v>122222.02</v>
      </c>
      <c r="S127" s="117">
        <f t="shared" si="9"/>
        <v>55.55546363636363</v>
      </c>
    </row>
    <row r="128" spans="1:19" ht="15.75">
      <c r="A128" s="1" t="s">
        <v>65</v>
      </c>
      <c r="B128" s="10" t="s">
        <v>36</v>
      </c>
      <c r="C128" s="10" t="s">
        <v>64</v>
      </c>
      <c r="D128" s="10" t="s">
        <v>66</v>
      </c>
      <c r="E128" s="10"/>
      <c r="F128" s="45">
        <f>F129</f>
        <v>0</v>
      </c>
      <c r="G128" s="10"/>
      <c r="H128" s="45">
        <f>H129</f>
        <v>720000</v>
      </c>
      <c r="I128" s="10"/>
      <c r="J128" s="45">
        <f>J129</f>
        <v>720000</v>
      </c>
      <c r="K128" s="10"/>
      <c r="L128" s="45">
        <f>L129</f>
        <v>720000</v>
      </c>
      <c r="M128" s="10"/>
      <c r="N128" s="45">
        <f>N129</f>
        <v>220000</v>
      </c>
      <c r="O128" s="10"/>
      <c r="P128" s="45">
        <f>P129</f>
        <v>220000</v>
      </c>
      <c r="R128" s="45">
        <f>R129</f>
        <v>122222.02</v>
      </c>
      <c r="S128" s="117">
        <f t="shared" si="9"/>
        <v>55.55546363636363</v>
      </c>
    </row>
    <row r="129" spans="1:19" ht="47.25" customHeight="1">
      <c r="A129" s="1" t="s">
        <v>390</v>
      </c>
      <c r="B129" s="10" t="s">
        <v>36</v>
      </c>
      <c r="C129" s="10" t="s">
        <v>64</v>
      </c>
      <c r="D129" s="10" t="s">
        <v>67</v>
      </c>
      <c r="E129" s="10"/>
      <c r="F129" s="45">
        <f>F130+F132</f>
        <v>0</v>
      </c>
      <c r="G129" s="10"/>
      <c r="H129" s="45">
        <f>H130+H132</f>
        <v>720000</v>
      </c>
      <c r="I129" s="10"/>
      <c r="J129" s="45">
        <f>J130+J132</f>
        <v>720000</v>
      </c>
      <c r="K129" s="10"/>
      <c r="L129" s="45">
        <f>L130+L132</f>
        <v>720000</v>
      </c>
      <c r="M129" s="10"/>
      <c r="N129" s="45">
        <f>N130+N132</f>
        <v>220000</v>
      </c>
      <c r="O129" s="10"/>
      <c r="P129" s="45">
        <f>P130+P132</f>
        <v>220000</v>
      </c>
      <c r="R129" s="45">
        <f>R130+R132</f>
        <v>122222.02</v>
      </c>
      <c r="S129" s="117">
        <f t="shared" si="9"/>
        <v>55.55546363636363</v>
      </c>
    </row>
    <row r="130" spans="1:19" ht="64.5" customHeight="1">
      <c r="A130" s="66" t="s">
        <v>389</v>
      </c>
      <c r="B130" s="10" t="s">
        <v>36</v>
      </c>
      <c r="C130" s="10" t="s">
        <v>64</v>
      </c>
      <c r="D130" s="10" t="s">
        <v>385</v>
      </c>
      <c r="E130" s="10"/>
      <c r="F130" s="45">
        <f>F131</f>
        <v>0</v>
      </c>
      <c r="G130" s="10"/>
      <c r="H130" s="45">
        <f>H131</f>
        <v>520000</v>
      </c>
      <c r="I130" s="10"/>
      <c r="J130" s="45">
        <f>J131</f>
        <v>520000</v>
      </c>
      <c r="K130" s="10"/>
      <c r="L130" s="45">
        <f>L131</f>
        <v>520000</v>
      </c>
      <c r="M130" s="10"/>
      <c r="N130" s="45">
        <f>N131</f>
        <v>20000</v>
      </c>
      <c r="O130" s="10"/>
      <c r="P130" s="45">
        <f>P131</f>
        <v>20000</v>
      </c>
      <c r="R130" s="45">
        <f>R131</f>
        <v>0</v>
      </c>
      <c r="S130" s="117">
        <f t="shared" si="9"/>
        <v>0</v>
      </c>
    </row>
    <row r="131" spans="1:19" ht="66" customHeight="1">
      <c r="A131" s="1" t="s">
        <v>367</v>
      </c>
      <c r="B131" s="10" t="s">
        <v>36</v>
      </c>
      <c r="C131" s="10" t="s">
        <v>64</v>
      </c>
      <c r="D131" s="10" t="s">
        <v>385</v>
      </c>
      <c r="E131" s="10" t="s">
        <v>353</v>
      </c>
      <c r="F131" s="45">
        <v>0</v>
      </c>
      <c r="G131" s="10" t="s">
        <v>535</v>
      </c>
      <c r="H131" s="45">
        <f>F131+G131</f>
        <v>520000</v>
      </c>
      <c r="I131" s="10" t="s">
        <v>376</v>
      </c>
      <c r="J131" s="45">
        <f>H131+I131</f>
        <v>520000</v>
      </c>
      <c r="K131" s="10"/>
      <c r="L131" s="45">
        <f>J131+K131</f>
        <v>520000</v>
      </c>
      <c r="M131" s="10" t="s">
        <v>697</v>
      </c>
      <c r="N131" s="45">
        <f>L131+M131</f>
        <v>20000</v>
      </c>
      <c r="O131" s="10"/>
      <c r="P131" s="45">
        <f>N131+O131</f>
        <v>20000</v>
      </c>
      <c r="R131" s="45">
        <v>0</v>
      </c>
      <c r="S131" s="117">
        <f t="shared" si="9"/>
        <v>0</v>
      </c>
    </row>
    <row r="132" spans="1:19" ht="79.5" customHeight="1">
      <c r="A132" s="66" t="s">
        <v>414</v>
      </c>
      <c r="B132" s="10" t="s">
        <v>36</v>
      </c>
      <c r="C132" s="10" t="s">
        <v>64</v>
      </c>
      <c r="D132" s="10" t="s">
        <v>386</v>
      </c>
      <c r="E132" s="10"/>
      <c r="F132" s="45">
        <f>F133</f>
        <v>0</v>
      </c>
      <c r="G132" s="10"/>
      <c r="H132" s="45">
        <f>H133</f>
        <v>200000</v>
      </c>
      <c r="I132" s="10"/>
      <c r="J132" s="45">
        <f>J133</f>
        <v>200000</v>
      </c>
      <c r="K132" s="10"/>
      <c r="L132" s="45">
        <f>L133</f>
        <v>200000</v>
      </c>
      <c r="M132" s="10"/>
      <c r="N132" s="45">
        <f>N133</f>
        <v>200000</v>
      </c>
      <c r="O132" s="10"/>
      <c r="P132" s="45">
        <f>P133</f>
        <v>200000</v>
      </c>
      <c r="R132" s="45">
        <f>R133</f>
        <v>122222.02</v>
      </c>
      <c r="S132" s="117">
        <f t="shared" si="9"/>
        <v>61.11101</v>
      </c>
    </row>
    <row r="133" spans="1:19" ht="64.5" customHeight="1">
      <c r="A133" s="1" t="s">
        <v>367</v>
      </c>
      <c r="B133" s="10" t="s">
        <v>36</v>
      </c>
      <c r="C133" s="10" t="s">
        <v>64</v>
      </c>
      <c r="D133" s="10" t="s">
        <v>386</v>
      </c>
      <c r="E133" s="10" t="s">
        <v>353</v>
      </c>
      <c r="F133" s="45">
        <v>0</v>
      </c>
      <c r="G133" s="10" t="s">
        <v>505</v>
      </c>
      <c r="H133" s="45">
        <f>G133+F133</f>
        <v>200000</v>
      </c>
      <c r="I133" s="10" t="s">
        <v>376</v>
      </c>
      <c r="J133" s="45">
        <f>I133+H133</f>
        <v>200000</v>
      </c>
      <c r="K133" s="10"/>
      <c r="L133" s="45">
        <f>K133+J133</f>
        <v>200000</v>
      </c>
      <c r="M133" s="10"/>
      <c r="N133" s="45">
        <f>M133+L133</f>
        <v>200000</v>
      </c>
      <c r="O133" s="10"/>
      <c r="P133" s="45">
        <f>O133+N133</f>
        <v>200000</v>
      </c>
      <c r="R133" s="45">
        <v>122222.02</v>
      </c>
      <c r="S133" s="117">
        <f t="shared" si="9"/>
        <v>61.11101</v>
      </c>
    </row>
    <row r="134" spans="1:19" ht="15.75">
      <c r="A134" s="66" t="s">
        <v>377</v>
      </c>
      <c r="B134" s="10" t="s">
        <v>36</v>
      </c>
      <c r="C134" s="39" t="s">
        <v>378</v>
      </c>
      <c r="D134" s="10"/>
      <c r="E134" s="10"/>
      <c r="F134" s="45" t="e">
        <f>F135+F141</f>
        <v>#REF!</v>
      </c>
      <c r="G134" s="10"/>
      <c r="H134" s="45">
        <f>H135+H141+H139</f>
        <v>12491600</v>
      </c>
      <c r="I134" s="10"/>
      <c r="J134" s="45">
        <f>J135+J141+J139</f>
        <v>12141600</v>
      </c>
      <c r="K134" s="10"/>
      <c r="L134" s="45">
        <f>L135+L141+L139+L146</f>
        <v>16605600</v>
      </c>
      <c r="M134" s="10"/>
      <c r="N134" s="45">
        <f>N135+N141+N139+N146</f>
        <v>15835600</v>
      </c>
      <c r="O134" s="10"/>
      <c r="P134" s="45">
        <f>P135+P141+P139+P146</f>
        <v>15791991</v>
      </c>
      <c r="R134" s="45">
        <f>R135+R141+R139+R146</f>
        <v>3448196.65</v>
      </c>
      <c r="S134" s="117">
        <f t="shared" si="9"/>
        <v>21.835097613720777</v>
      </c>
    </row>
    <row r="135" spans="1:19" ht="15.75">
      <c r="A135" s="66" t="s">
        <v>379</v>
      </c>
      <c r="B135" s="10" t="s">
        <v>36</v>
      </c>
      <c r="C135" s="39" t="s">
        <v>378</v>
      </c>
      <c r="D135" s="10" t="s">
        <v>380</v>
      </c>
      <c r="E135" s="10"/>
      <c r="F135" s="45">
        <f>F136</f>
        <v>0</v>
      </c>
      <c r="G135" s="10"/>
      <c r="H135" s="45">
        <f>H136</f>
        <v>11776000</v>
      </c>
      <c r="I135" s="10"/>
      <c r="J135" s="45">
        <f>J136</f>
        <v>11426000</v>
      </c>
      <c r="K135" s="10"/>
      <c r="L135" s="45">
        <f>L136</f>
        <v>11426000</v>
      </c>
      <c r="M135" s="10"/>
      <c r="N135" s="45">
        <f>N136</f>
        <v>10656000</v>
      </c>
      <c r="O135" s="10"/>
      <c r="P135" s="45">
        <f>P136</f>
        <v>10588391</v>
      </c>
      <c r="R135" s="45">
        <f>R136</f>
        <v>3374798.65</v>
      </c>
      <c r="S135" s="117">
        <f t="shared" si="9"/>
        <v>31.872629656384998</v>
      </c>
    </row>
    <row r="136" spans="1:19" ht="15.75">
      <c r="A136" s="66" t="s">
        <v>381</v>
      </c>
      <c r="B136" s="10" t="s">
        <v>36</v>
      </c>
      <c r="C136" s="39" t="s">
        <v>378</v>
      </c>
      <c r="D136" s="10" t="s">
        <v>382</v>
      </c>
      <c r="E136" s="10"/>
      <c r="F136" s="45">
        <f>F137</f>
        <v>0</v>
      </c>
      <c r="G136" s="10"/>
      <c r="H136" s="45">
        <f>H137</f>
        <v>11776000</v>
      </c>
      <c r="I136" s="10"/>
      <c r="J136" s="45">
        <f>J137</f>
        <v>11426000</v>
      </c>
      <c r="K136" s="10"/>
      <c r="L136" s="45">
        <f>L137</f>
        <v>11426000</v>
      </c>
      <c r="M136" s="10"/>
      <c r="N136" s="45">
        <f>N137</f>
        <v>10656000</v>
      </c>
      <c r="O136" s="10"/>
      <c r="P136" s="45">
        <f>P137</f>
        <v>10588391</v>
      </c>
      <c r="R136" s="45">
        <f>R137</f>
        <v>3374798.65</v>
      </c>
      <c r="S136" s="117">
        <f t="shared" si="9"/>
        <v>31.872629656384998</v>
      </c>
    </row>
    <row r="137" spans="1:19" ht="31.5">
      <c r="A137" s="66" t="s">
        <v>384</v>
      </c>
      <c r="B137" s="10" t="s">
        <v>36</v>
      </c>
      <c r="C137" s="39" t="s">
        <v>378</v>
      </c>
      <c r="D137" s="10" t="s">
        <v>383</v>
      </c>
      <c r="E137" s="10"/>
      <c r="F137" s="45">
        <f>F138</f>
        <v>0</v>
      </c>
      <c r="G137" s="10"/>
      <c r="H137" s="45">
        <f>H138</f>
        <v>11776000</v>
      </c>
      <c r="I137" s="10"/>
      <c r="J137" s="45">
        <f>J138</f>
        <v>11426000</v>
      </c>
      <c r="K137" s="10"/>
      <c r="L137" s="45">
        <f>L138</f>
        <v>11426000</v>
      </c>
      <c r="M137" s="10"/>
      <c r="N137" s="45">
        <f>N138</f>
        <v>10656000</v>
      </c>
      <c r="O137" s="10"/>
      <c r="P137" s="45">
        <f>P138</f>
        <v>10588391</v>
      </c>
      <c r="R137" s="45">
        <f>R138</f>
        <v>3374798.65</v>
      </c>
      <c r="S137" s="117">
        <f t="shared" si="9"/>
        <v>31.872629656384998</v>
      </c>
    </row>
    <row r="138" spans="1:19" ht="34.5" customHeight="1">
      <c r="A138" s="24" t="s">
        <v>365</v>
      </c>
      <c r="B138" s="10" t="s">
        <v>36</v>
      </c>
      <c r="C138" s="39" t="s">
        <v>378</v>
      </c>
      <c r="D138" s="10" t="s">
        <v>383</v>
      </c>
      <c r="E138" s="10" t="s">
        <v>316</v>
      </c>
      <c r="F138" s="45">
        <v>0</v>
      </c>
      <c r="G138" s="68">
        <v>11776000</v>
      </c>
      <c r="H138" s="45">
        <f>F138+G138</f>
        <v>11776000</v>
      </c>
      <c r="I138" s="68">
        <v>-350000</v>
      </c>
      <c r="J138" s="45">
        <f>H138+I138</f>
        <v>11426000</v>
      </c>
      <c r="K138" s="68"/>
      <c r="L138" s="45">
        <f>J138+K138</f>
        <v>11426000</v>
      </c>
      <c r="M138" s="68">
        <f>30000-800000</f>
        <v>-770000</v>
      </c>
      <c r="N138" s="45">
        <f>L138+M138</f>
        <v>10656000</v>
      </c>
      <c r="O138" s="68">
        <f>-24000+20000-63609</f>
        <v>-67609</v>
      </c>
      <c r="P138" s="45">
        <f>N138+O138</f>
        <v>10588391</v>
      </c>
      <c r="R138" s="45">
        <v>3374798.65</v>
      </c>
      <c r="S138" s="117">
        <f t="shared" si="9"/>
        <v>31.872629656384998</v>
      </c>
    </row>
    <row r="139" spans="1:19" ht="70.5" customHeight="1" hidden="1">
      <c r="A139" s="24" t="s">
        <v>418</v>
      </c>
      <c r="B139" s="10" t="s">
        <v>36</v>
      </c>
      <c r="C139" s="39" t="s">
        <v>378</v>
      </c>
      <c r="D139" s="10" t="s">
        <v>419</v>
      </c>
      <c r="E139" s="10"/>
      <c r="F139" s="45"/>
      <c r="G139" s="10"/>
      <c r="H139" s="45">
        <f>H140</f>
        <v>0</v>
      </c>
      <c r="I139" s="10"/>
      <c r="J139" s="45">
        <f>J140</f>
        <v>0</v>
      </c>
      <c r="K139" s="10"/>
      <c r="L139" s="45">
        <f>L140</f>
        <v>0</v>
      </c>
      <c r="M139" s="10"/>
      <c r="N139" s="45">
        <f>N140</f>
        <v>0</v>
      </c>
      <c r="O139" s="10"/>
      <c r="P139" s="45">
        <f>P140</f>
        <v>0</v>
      </c>
      <c r="R139" s="45">
        <f>R140</f>
        <v>0</v>
      </c>
      <c r="S139" s="117" t="e">
        <f t="shared" si="9"/>
        <v>#DIV/0!</v>
      </c>
    </row>
    <row r="140" spans="1:19" ht="43.5" customHeight="1" hidden="1">
      <c r="A140" s="24" t="s">
        <v>365</v>
      </c>
      <c r="B140" s="10" t="s">
        <v>36</v>
      </c>
      <c r="C140" s="39" t="s">
        <v>378</v>
      </c>
      <c r="D140" s="10" t="s">
        <v>419</v>
      </c>
      <c r="E140" s="10" t="s">
        <v>316</v>
      </c>
      <c r="F140" s="45"/>
      <c r="G140" s="68">
        <v>0</v>
      </c>
      <c r="H140" s="45">
        <f>F140+G140</f>
        <v>0</v>
      </c>
      <c r="I140" s="68">
        <v>0</v>
      </c>
      <c r="J140" s="45">
        <f>H140+I140</f>
        <v>0</v>
      </c>
      <c r="K140" s="68"/>
      <c r="L140" s="45">
        <f>J140+K140</f>
        <v>0</v>
      </c>
      <c r="M140" s="68"/>
      <c r="N140" s="45">
        <f>L140+M140</f>
        <v>0</v>
      </c>
      <c r="O140" s="68"/>
      <c r="P140" s="45">
        <f>N140+O140</f>
        <v>0</v>
      </c>
      <c r="R140" s="45">
        <f>P140+Q140</f>
        <v>0</v>
      </c>
      <c r="S140" s="117" t="e">
        <f t="shared" si="9"/>
        <v>#DIV/0!</v>
      </c>
    </row>
    <row r="141" spans="1:19" ht="15.75">
      <c r="A141" s="84" t="s">
        <v>307</v>
      </c>
      <c r="B141" s="10" t="s">
        <v>36</v>
      </c>
      <c r="C141" s="39" t="s">
        <v>378</v>
      </c>
      <c r="D141" s="10" t="s">
        <v>78</v>
      </c>
      <c r="E141" s="10"/>
      <c r="F141" s="45" t="e">
        <f>#REF!</f>
        <v>#REF!</v>
      </c>
      <c r="G141" s="10"/>
      <c r="H141" s="45">
        <f>H142+H144</f>
        <v>715600</v>
      </c>
      <c r="I141" s="10"/>
      <c r="J141" s="45">
        <f>J142+J144</f>
        <v>715600</v>
      </c>
      <c r="K141" s="10"/>
      <c r="L141" s="45">
        <f>L142+L144</f>
        <v>715600</v>
      </c>
      <c r="M141" s="10"/>
      <c r="N141" s="45">
        <f>N142+N144</f>
        <v>715600</v>
      </c>
      <c r="O141" s="10"/>
      <c r="P141" s="45">
        <f>P142+P144</f>
        <v>739600</v>
      </c>
      <c r="R141" s="45">
        <f>R142+R144</f>
        <v>73398</v>
      </c>
      <c r="S141" s="117">
        <f aca="true" t="shared" si="10" ref="S141:S204">R141/P141*100</f>
        <v>9.924012979989183</v>
      </c>
    </row>
    <row r="142" spans="1:19" ht="64.5" customHeight="1">
      <c r="A142" s="18" t="s">
        <v>739</v>
      </c>
      <c r="B142" s="8" t="s">
        <v>36</v>
      </c>
      <c r="C142" s="29" t="s">
        <v>378</v>
      </c>
      <c r="D142" s="8" t="s">
        <v>532</v>
      </c>
      <c r="E142" s="8"/>
      <c r="F142" s="45">
        <f>F143</f>
        <v>0</v>
      </c>
      <c r="G142" s="10"/>
      <c r="H142" s="45">
        <f>H143</f>
        <v>300000</v>
      </c>
      <c r="I142" s="10"/>
      <c r="J142" s="45">
        <f>J143</f>
        <v>300000</v>
      </c>
      <c r="K142" s="10"/>
      <c r="L142" s="45">
        <f>L143</f>
        <v>300000</v>
      </c>
      <c r="M142" s="10"/>
      <c r="N142" s="45">
        <f>N143</f>
        <v>300000</v>
      </c>
      <c r="O142" s="10"/>
      <c r="P142" s="45">
        <f>P143</f>
        <v>324000</v>
      </c>
      <c r="R142" s="45">
        <f>R143</f>
        <v>24000</v>
      </c>
      <c r="S142" s="117">
        <f t="shared" si="10"/>
        <v>7.4074074074074066</v>
      </c>
    </row>
    <row r="143" spans="1:19" ht="31.5">
      <c r="A143" s="24" t="s">
        <v>365</v>
      </c>
      <c r="B143" s="8" t="s">
        <v>36</v>
      </c>
      <c r="C143" s="29" t="s">
        <v>378</v>
      </c>
      <c r="D143" s="8" t="s">
        <v>532</v>
      </c>
      <c r="E143" s="8" t="s">
        <v>316</v>
      </c>
      <c r="F143" s="45">
        <v>0</v>
      </c>
      <c r="G143" s="10" t="s">
        <v>423</v>
      </c>
      <c r="H143" s="45">
        <f>F143+G143</f>
        <v>300000</v>
      </c>
      <c r="I143" s="10" t="s">
        <v>376</v>
      </c>
      <c r="J143" s="45">
        <f>H143+I143</f>
        <v>300000</v>
      </c>
      <c r="K143" s="10"/>
      <c r="L143" s="45">
        <f>J143+K143</f>
        <v>300000</v>
      </c>
      <c r="M143" s="10"/>
      <c r="N143" s="45">
        <f>L143+M143</f>
        <v>300000</v>
      </c>
      <c r="O143" s="10" t="s">
        <v>717</v>
      </c>
      <c r="P143" s="45">
        <f>N143+O143</f>
        <v>324000</v>
      </c>
      <c r="R143" s="45">
        <v>24000</v>
      </c>
      <c r="S143" s="117">
        <f t="shared" si="10"/>
        <v>7.4074074074074066</v>
      </c>
    </row>
    <row r="144" spans="1:19" ht="94.5">
      <c r="A144" s="1" t="s">
        <v>740</v>
      </c>
      <c r="B144" s="8" t="s">
        <v>36</v>
      </c>
      <c r="C144" s="29" t="s">
        <v>378</v>
      </c>
      <c r="D144" s="8" t="s">
        <v>287</v>
      </c>
      <c r="E144" s="8"/>
      <c r="F144" s="45">
        <f>F145</f>
        <v>0</v>
      </c>
      <c r="G144" s="10"/>
      <c r="H144" s="45">
        <f>H145</f>
        <v>415600</v>
      </c>
      <c r="I144" s="10"/>
      <c r="J144" s="45">
        <f>J145</f>
        <v>415600</v>
      </c>
      <c r="K144" s="10"/>
      <c r="L144" s="45">
        <f>L145</f>
        <v>415600</v>
      </c>
      <c r="M144" s="10"/>
      <c r="N144" s="45">
        <f>N145</f>
        <v>415600</v>
      </c>
      <c r="O144" s="10"/>
      <c r="P144" s="45">
        <f>P145</f>
        <v>415600</v>
      </c>
      <c r="R144" s="45">
        <f>R145</f>
        <v>49398</v>
      </c>
      <c r="S144" s="117">
        <f t="shared" si="10"/>
        <v>11.88594802694899</v>
      </c>
    </row>
    <row r="145" spans="1:19" ht="31.5">
      <c r="A145" s="24" t="s">
        <v>365</v>
      </c>
      <c r="B145" s="8" t="s">
        <v>36</v>
      </c>
      <c r="C145" s="29" t="s">
        <v>378</v>
      </c>
      <c r="D145" s="8" t="s">
        <v>287</v>
      </c>
      <c r="E145" s="8" t="s">
        <v>316</v>
      </c>
      <c r="F145" s="45">
        <v>0</v>
      </c>
      <c r="G145" s="10" t="s">
        <v>438</v>
      </c>
      <c r="H145" s="45">
        <f>F145+G145</f>
        <v>415600</v>
      </c>
      <c r="I145" s="10" t="s">
        <v>556</v>
      </c>
      <c r="J145" s="45">
        <f>H145+I145</f>
        <v>415600</v>
      </c>
      <c r="K145" s="10"/>
      <c r="L145" s="45">
        <f>J145+K145</f>
        <v>415600</v>
      </c>
      <c r="M145" s="10"/>
      <c r="N145" s="45">
        <f>L145+M145</f>
        <v>415600</v>
      </c>
      <c r="O145" s="10"/>
      <c r="P145" s="45">
        <f>N145+O145</f>
        <v>415600</v>
      </c>
      <c r="R145" s="45">
        <v>49398</v>
      </c>
      <c r="S145" s="117">
        <f t="shared" si="10"/>
        <v>11.88594802694899</v>
      </c>
    </row>
    <row r="146" spans="1:19" ht="33.75" customHeight="1">
      <c r="A146" s="66" t="s">
        <v>741</v>
      </c>
      <c r="B146" s="10" t="s">
        <v>36</v>
      </c>
      <c r="C146" s="39" t="s">
        <v>378</v>
      </c>
      <c r="D146" s="10" t="s">
        <v>624</v>
      </c>
      <c r="E146" s="10"/>
      <c r="F146" s="45"/>
      <c r="G146" s="10"/>
      <c r="H146" s="77"/>
      <c r="I146" s="10"/>
      <c r="J146" s="77"/>
      <c r="K146" s="85"/>
      <c r="L146" s="77">
        <f>L147</f>
        <v>4464000</v>
      </c>
      <c r="M146" s="85"/>
      <c r="N146" s="77">
        <f>N147</f>
        <v>4464000</v>
      </c>
      <c r="O146" s="85"/>
      <c r="P146" s="77">
        <f>P147</f>
        <v>4464000</v>
      </c>
      <c r="R146" s="77">
        <f>R147</f>
        <v>0</v>
      </c>
      <c r="S146" s="117">
        <f t="shared" si="10"/>
        <v>0</v>
      </c>
    </row>
    <row r="147" spans="1:19" ht="47.25">
      <c r="A147" s="66" t="s">
        <v>625</v>
      </c>
      <c r="B147" s="10" t="s">
        <v>36</v>
      </c>
      <c r="C147" s="39" t="s">
        <v>378</v>
      </c>
      <c r="D147" s="10" t="s">
        <v>626</v>
      </c>
      <c r="E147" s="10"/>
      <c r="F147" s="45"/>
      <c r="G147" s="10"/>
      <c r="H147" s="77"/>
      <c r="I147" s="10"/>
      <c r="J147" s="77"/>
      <c r="K147" s="85"/>
      <c r="L147" s="77">
        <f>L148</f>
        <v>4464000</v>
      </c>
      <c r="M147" s="85"/>
      <c r="N147" s="77">
        <f>N148</f>
        <v>4464000</v>
      </c>
      <c r="O147" s="85"/>
      <c r="P147" s="77">
        <f>P148</f>
        <v>4464000</v>
      </c>
      <c r="R147" s="77">
        <f>R148</f>
        <v>0</v>
      </c>
      <c r="S147" s="117">
        <f t="shared" si="10"/>
        <v>0</v>
      </c>
    </row>
    <row r="148" spans="1:19" ht="78.75">
      <c r="A148" s="1" t="s">
        <v>627</v>
      </c>
      <c r="B148" s="8" t="s">
        <v>36</v>
      </c>
      <c r="C148" s="29" t="s">
        <v>378</v>
      </c>
      <c r="D148" s="8" t="s">
        <v>628</v>
      </c>
      <c r="E148" s="8"/>
      <c r="F148" s="45"/>
      <c r="G148" s="10"/>
      <c r="H148" s="77"/>
      <c r="I148" s="10"/>
      <c r="J148" s="77"/>
      <c r="K148" s="85"/>
      <c r="L148" s="77">
        <f>L149</f>
        <v>4464000</v>
      </c>
      <c r="M148" s="85"/>
      <c r="N148" s="77">
        <f>N149</f>
        <v>4464000</v>
      </c>
      <c r="O148" s="85"/>
      <c r="P148" s="77">
        <f>P149</f>
        <v>4464000</v>
      </c>
      <c r="R148" s="77">
        <f>R149</f>
        <v>0</v>
      </c>
      <c r="S148" s="117">
        <f t="shared" si="10"/>
        <v>0</v>
      </c>
    </row>
    <row r="149" spans="1:19" ht="31.5">
      <c r="A149" s="24" t="s">
        <v>365</v>
      </c>
      <c r="B149" s="8" t="s">
        <v>36</v>
      </c>
      <c r="C149" s="29" t="s">
        <v>378</v>
      </c>
      <c r="D149" s="8" t="s">
        <v>628</v>
      </c>
      <c r="E149" s="8" t="s">
        <v>316</v>
      </c>
      <c r="F149" s="45"/>
      <c r="G149" s="10"/>
      <c r="H149" s="77"/>
      <c r="I149" s="10"/>
      <c r="J149" s="77"/>
      <c r="K149" s="85" t="s">
        <v>629</v>
      </c>
      <c r="L149" s="77">
        <f>J149+K149</f>
        <v>4464000</v>
      </c>
      <c r="M149" s="85" t="s">
        <v>376</v>
      </c>
      <c r="N149" s="77">
        <f>L149+M149</f>
        <v>4464000</v>
      </c>
      <c r="O149" s="85"/>
      <c r="P149" s="77">
        <f>N149+O149</f>
        <v>4464000</v>
      </c>
      <c r="R149" s="77">
        <v>0</v>
      </c>
      <c r="S149" s="117">
        <f t="shared" si="10"/>
        <v>0</v>
      </c>
    </row>
    <row r="150" spans="1:19" ht="19.5" customHeight="1">
      <c r="A150" s="24" t="s">
        <v>232</v>
      </c>
      <c r="B150" s="10" t="s">
        <v>36</v>
      </c>
      <c r="C150" s="39" t="s">
        <v>233</v>
      </c>
      <c r="D150" s="10"/>
      <c r="E150" s="10"/>
      <c r="F150" s="47" t="e">
        <f>#REF!+F151</f>
        <v>#REF!</v>
      </c>
      <c r="G150" s="10"/>
      <c r="H150" s="47" t="e">
        <f>#REF!+H151</f>
        <v>#REF!</v>
      </c>
      <c r="I150" s="10"/>
      <c r="J150" s="47">
        <f>J151</f>
        <v>46060</v>
      </c>
      <c r="K150" s="10"/>
      <c r="L150" s="47">
        <f>L151+L153</f>
        <v>202385.5</v>
      </c>
      <c r="M150" s="10"/>
      <c r="N150" s="47">
        <f>N151+N153</f>
        <v>206082.3</v>
      </c>
      <c r="O150" s="10"/>
      <c r="P150" s="47">
        <f>P151+P153</f>
        <v>206082.3</v>
      </c>
      <c r="R150" s="47">
        <f>R151+R153</f>
        <v>0</v>
      </c>
      <c r="S150" s="117">
        <f t="shared" si="10"/>
        <v>0</v>
      </c>
    </row>
    <row r="151" spans="1:19" ht="47.25">
      <c r="A151" s="1" t="s">
        <v>583</v>
      </c>
      <c r="B151" s="10" t="s">
        <v>36</v>
      </c>
      <c r="C151" s="10" t="s">
        <v>233</v>
      </c>
      <c r="D151" s="10" t="s">
        <v>257</v>
      </c>
      <c r="E151" s="10"/>
      <c r="F151" s="45">
        <f>F152</f>
        <v>0</v>
      </c>
      <c r="G151" s="10"/>
      <c r="H151" s="45">
        <f>H152</f>
        <v>46060</v>
      </c>
      <c r="I151" s="10"/>
      <c r="J151" s="45">
        <f>J152</f>
        <v>46060</v>
      </c>
      <c r="K151" s="10"/>
      <c r="L151" s="45">
        <f>L152</f>
        <v>82627.5</v>
      </c>
      <c r="M151" s="10"/>
      <c r="N151" s="45">
        <f>N152</f>
        <v>86324.3</v>
      </c>
      <c r="O151" s="10"/>
      <c r="P151" s="45">
        <f>P152</f>
        <v>86324.3</v>
      </c>
      <c r="R151" s="45">
        <f>R152</f>
        <v>0</v>
      </c>
      <c r="S151" s="117">
        <f t="shared" si="10"/>
        <v>0</v>
      </c>
    </row>
    <row r="152" spans="1:19" ht="48.75" customHeight="1">
      <c r="A152" s="18" t="s">
        <v>320</v>
      </c>
      <c r="B152" s="10" t="s">
        <v>36</v>
      </c>
      <c r="C152" s="10" t="s">
        <v>233</v>
      </c>
      <c r="D152" s="10" t="s">
        <v>257</v>
      </c>
      <c r="E152" s="10" t="s">
        <v>315</v>
      </c>
      <c r="F152" s="45">
        <v>0</v>
      </c>
      <c r="G152" s="10" t="s">
        <v>536</v>
      </c>
      <c r="H152" s="45">
        <f>F152+G152</f>
        <v>46060</v>
      </c>
      <c r="I152" s="10" t="s">
        <v>376</v>
      </c>
      <c r="J152" s="45">
        <f>H152+I152</f>
        <v>46060</v>
      </c>
      <c r="K152" s="10" t="s">
        <v>645</v>
      </c>
      <c r="L152" s="45">
        <f>J152+K152</f>
        <v>82627.5</v>
      </c>
      <c r="M152" s="10" t="s">
        <v>701</v>
      </c>
      <c r="N152" s="45">
        <f>L152+M152</f>
        <v>86324.3</v>
      </c>
      <c r="O152" s="10"/>
      <c r="P152" s="45">
        <f>N152+O152</f>
        <v>86324.3</v>
      </c>
      <c r="R152" s="45">
        <v>0</v>
      </c>
      <c r="S152" s="117">
        <f t="shared" si="10"/>
        <v>0</v>
      </c>
    </row>
    <row r="153" spans="1:19" ht="48.75" customHeight="1">
      <c r="A153" s="1" t="s">
        <v>647</v>
      </c>
      <c r="B153" s="10" t="s">
        <v>36</v>
      </c>
      <c r="C153" s="10" t="s">
        <v>233</v>
      </c>
      <c r="D153" s="10" t="s">
        <v>294</v>
      </c>
      <c r="E153" s="10"/>
      <c r="F153" s="45"/>
      <c r="G153" s="10"/>
      <c r="H153" s="45"/>
      <c r="I153" s="10"/>
      <c r="J153" s="45"/>
      <c r="K153" s="10"/>
      <c r="L153" s="45">
        <f>L154</f>
        <v>119758</v>
      </c>
      <c r="M153" s="10"/>
      <c r="N153" s="45">
        <f>N154</f>
        <v>119758</v>
      </c>
      <c r="O153" s="10"/>
      <c r="P153" s="45">
        <f>P154</f>
        <v>119758</v>
      </c>
      <c r="R153" s="45">
        <f>R154</f>
        <v>0</v>
      </c>
      <c r="S153" s="117">
        <f t="shared" si="10"/>
        <v>0</v>
      </c>
    </row>
    <row r="154" spans="1:19" ht="48.75" customHeight="1">
      <c r="A154" s="1" t="s">
        <v>320</v>
      </c>
      <c r="B154" s="10" t="s">
        <v>36</v>
      </c>
      <c r="C154" s="10" t="s">
        <v>233</v>
      </c>
      <c r="D154" s="10" t="s">
        <v>294</v>
      </c>
      <c r="E154" s="10" t="s">
        <v>315</v>
      </c>
      <c r="F154" s="45"/>
      <c r="G154" s="10"/>
      <c r="H154" s="45"/>
      <c r="I154" s="10"/>
      <c r="J154" s="45"/>
      <c r="K154" s="10" t="s">
        <v>648</v>
      </c>
      <c r="L154" s="45">
        <f>J154+K154</f>
        <v>119758</v>
      </c>
      <c r="M154" s="10" t="s">
        <v>376</v>
      </c>
      <c r="N154" s="45">
        <f>L154+M154</f>
        <v>119758</v>
      </c>
      <c r="O154" s="10"/>
      <c r="P154" s="45">
        <f>N154+O154</f>
        <v>119758</v>
      </c>
      <c r="R154" s="45">
        <v>0</v>
      </c>
      <c r="S154" s="117">
        <f t="shared" si="10"/>
        <v>0</v>
      </c>
    </row>
    <row r="155" spans="1:19" ht="36" customHeight="1">
      <c r="A155" s="1" t="s">
        <v>146</v>
      </c>
      <c r="B155" s="10" t="s">
        <v>36</v>
      </c>
      <c r="C155" s="10" t="s">
        <v>62</v>
      </c>
      <c r="D155" s="10"/>
      <c r="E155" s="10"/>
      <c r="F155" s="45" t="e">
        <f>F160+#REF!+F162+F156</f>
        <v>#REF!</v>
      </c>
      <c r="G155" s="10"/>
      <c r="H155" s="45">
        <f>H160+H162+H156</f>
        <v>2851000</v>
      </c>
      <c r="I155" s="10"/>
      <c r="J155" s="45">
        <f>J160+J162+J156</f>
        <v>2851000</v>
      </c>
      <c r="K155" s="10"/>
      <c r="L155" s="45">
        <f>L156+L159+L164</f>
        <v>10296500</v>
      </c>
      <c r="M155" s="10"/>
      <c r="N155" s="45">
        <f>N156+N159+N164</f>
        <v>10296500</v>
      </c>
      <c r="O155" s="10"/>
      <c r="P155" s="45">
        <f>P156+P159+P164</f>
        <v>8284833.33</v>
      </c>
      <c r="R155" s="45">
        <f>R156+R159+R164</f>
        <v>198000</v>
      </c>
      <c r="S155" s="117">
        <f t="shared" si="10"/>
        <v>2.3899092729243834</v>
      </c>
    </row>
    <row r="156" spans="1:19" ht="31.5">
      <c r="A156" s="1" t="s">
        <v>186</v>
      </c>
      <c r="B156" s="10" t="s">
        <v>36</v>
      </c>
      <c r="C156" s="10" t="s">
        <v>62</v>
      </c>
      <c r="D156" s="10" t="s">
        <v>187</v>
      </c>
      <c r="E156" s="10"/>
      <c r="F156" s="45">
        <f>F157</f>
        <v>0</v>
      </c>
      <c r="G156" s="10"/>
      <c r="H156" s="45">
        <f>H157</f>
        <v>100000</v>
      </c>
      <c r="I156" s="10"/>
      <c r="J156" s="45">
        <f>J157</f>
        <v>100000</v>
      </c>
      <c r="K156" s="10"/>
      <c r="L156" s="45">
        <f>L157</f>
        <v>100000</v>
      </c>
      <c r="M156" s="10"/>
      <c r="N156" s="45">
        <f>N157</f>
        <v>100000</v>
      </c>
      <c r="O156" s="10"/>
      <c r="P156" s="45">
        <f>P157</f>
        <v>100000</v>
      </c>
      <c r="R156" s="45">
        <f>R157</f>
        <v>100000</v>
      </c>
      <c r="S156" s="117">
        <f t="shared" si="10"/>
        <v>100</v>
      </c>
    </row>
    <row r="157" spans="1:19" ht="31.5">
      <c r="A157" s="3" t="s">
        <v>388</v>
      </c>
      <c r="B157" s="10" t="s">
        <v>36</v>
      </c>
      <c r="C157" s="10" t="s">
        <v>62</v>
      </c>
      <c r="D157" s="39" t="s">
        <v>387</v>
      </c>
      <c r="E157" s="10"/>
      <c r="F157" s="45">
        <f>F158</f>
        <v>0</v>
      </c>
      <c r="G157" s="10"/>
      <c r="H157" s="45">
        <f>H158</f>
        <v>100000</v>
      </c>
      <c r="I157" s="10"/>
      <c r="J157" s="45">
        <f>J158</f>
        <v>100000</v>
      </c>
      <c r="K157" s="10"/>
      <c r="L157" s="45">
        <f>L158</f>
        <v>100000</v>
      </c>
      <c r="M157" s="10"/>
      <c r="N157" s="45">
        <f>N158</f>
        <v>100000</v>
      </c>
      <c r="O157" s="10"/>
      <c r="P157" s="45">
        <f>P158</f>
        <v>100000</v>
      </c>
      <c r="R157" s="45">
        <f>R158</f>
        <v>100000</v>
      </c>
      <c r="S157" s="117">
        <f t="shared" si="10"/>
        <v>100</v>
      </c>
    </row>
    <row r="158" spans="1:19" ht="63">
      <c r="A158" s="3" t="s">
        <v>367</v>
      </c>
      <c r="B158" s="39" t="s">
        <v>36</v>
      </c>
      <c r="C158" s="39" t="s">
        <v>62</v>
      </c>
      <c r="D158" s="39" t="s">
        <v>387</v>
      </c>
      <c r="E158" s="39" t="s">
        <v>353</v>
      </c>
      <c r="F158" s="45">
        <v>0</v>
      </c>
      <c r="G158" s="10" t="s">
        <v>519</v>
      </c>
      <c r="H158" s="45">
        <f>F158+G158</f>
        <v>100000</v>
      </c>
      <c r="I158" s="10" t="s">
        <v>376</v>
      </c>
      <c r="J158" s="45">
        <f>H158+I158</f>
        <v>100000</v>
      </c>
      <c r="K158" s="10"/>
      <c r="L158" s="45">
        <f>J158+K158</f>
        <v>100000</v>
      </c>
      <c r="M158" s="10"/>
      <c r="N158" s="45">
        <f>L158+M158</f>
        <v>100000</v>
      </c>
      <c r="O158" s="10"/>
      <c r="P158" s="45">
        <f>N158+O158</f>
        <v>100000</v>
      </c>
      <c r="R158" s="45">
        <f>P158+Q158</f>
        <v>100000</v>
      </c>
      <c r="S158" s="117">
        <f t="shared" si="10"/>
        <v>100</v>
      </c>
    </row>
    <row r="159" spans="1:19" ht="15.75">
      <c r="A159" s="18" t="s">
        <v>307</v>
      </c>
      <c r="B159" s="39" t="s">
        <v>36</v>
      </c>
      <c r="C159" s="39" t="s">
        <v>62</v>
      </c>
      <c r="D159" s="39" t="s">
        <v>78</v>
      </c>
      <c r="E159" s="39"/>
      <c r="F159" s="45"/>
      <c r="G159" s="10"/>
      <c r="H159" s="45"/>
      <c r="I159" s="10"/>
      <c r="J159" s="45"/>
      <c r="K159" s="10"/>
      <c r="L159" s="45">
        <f>L160+L162</f>
        <v>2751000</v>
      </c>
      <c r="M159" s="10"/>
      <c r="N159" s="45">
        <f>N160+N162</f>
        <v>2751000</v>
      </c>
      <c r="O159" s="10"/>
      <c r="P159" s="45">
        <f>P160+P162</f>
        <v>739333.3300000001</v>
      </c>
      <c r="R159" s="45">
        <f>R160+R162</f>
        <v>98000</v>
      </c>
      <c r="S159" s="117">
        <f t="shared" si="10"/>
        <v>13.255184910979192</v>
      </c>
    </row>
    <row r="160" spans="1:19" ht="63">
      <c r="A160" s="3" t="s">
        <v>401</v>
      </c>
      <c r="B160" s="10" t="s">
        <v>36</v>
      </c>
      <c r="C160" s="10" t="s">
        <v>62</v>
      </c>
      <c r="D160" s="10" t="s">
        <v>259</v>
      </c>
      <c r="E160" s="10"/>
      <c r="F160" s="45">
        <f>F161</f>
        <v>0</v>
      </c>
      <c r="G160" s="10"/>
      <c r="H160" s="45">
        <f>H161</f>
        <v>2493000</v>
      </c>
      <c r="I160" s="10"/>
      <c r="J160" s="45">
        <f>J161</f>
        <v>2493000</v>
      </c>
      <c r="K160" s="10"/>
      <c r="L160" s="45">
        <f>L161</f>
        <v>2493000</v>
      </c>
      <c r="M160" s="10"/>
      <c r="N160" s="45">
        <f>N161</f>
        <v>2493000</v>
      </c>
      <c r="O160" s="10"/>
      <c r="P160" s="45">
        <f>P161</f>
        <v>481333.3300000001</v>
      </c>
      <c r="R160" s="45">
        <f>R161</f>
        <v>98000</v>
      </c>
      <c r="S160" s="117">
        <f t="shared" si="10"/>
        <v>20.360110944322095</v>
      </c>
    </row>
    <row r="161" spans="1:19" ht="33.75" customHeight="1">
      <c r="A161" s="3" t="s">
        <v>373</v>
      </c>
      <c r="B161" s="10" t="s">
        <v>36</v>
      </c>
      <c r="C161" s="10" t="s">
        <v>62</v>
      </c>
      <c r="D161" s="10" t="s">
        <v>259</v>
      </c>
      <c r="E161" s="10" t="s">
        <v>316</v>
      </c>
      <c r="F161" s="45">
        <v>0</v>
      </c>
      <c r="G161" s="10" t="s">
        <v>537</v>
      </c>
      <c r="H161" s="45">
        <f>F161+G161</f>
        <v>2493000</v>
      </c>
      <c r="I161" s="10" t="s">
        <v>376</v>
      </c>
      <c r="J161" s="45">
        <f>H161+I161</f>
        <v>2493000</v>
      </c>
      <c r="K161" s="10"/>
      <c r="L161" s="45">
        <f>J161+K161</f>
        <v>2493000</v>
      </c>
      <c r="M161" s="10"/>
      <c r="N161" s="45">
        <f>L161+M161</f>
        <v>2493000</v>
      </c>
      <c r="O161" s="10" t="s">
        <v>718</v>
      </c>
      <c r="P161" s="45">
        <f>N161+O161</f>
        <v>481333.3300000001</v>
      </c>
      <c r="R161" s="45">
        <v>98000</v>
      </c>
      <c r="S161" s="117">
        <f t="shared" si="10"/>
        <v>20.360110944322095</v>
      </c>
    </row>
    <row r="162" spans="1:19" ht="66" customHeight="1">
      <c r="A162" s="3" t="s">
        <v>372</v>
      </c>
      <c r="B162" s="39" t="s">
        <v>36</v>
      </c>
      <c r="C162" s="39" t="s">
        <v>62</v>
      </c>
      <c r="D162" s="39" t="s">
        <v>292</v>
      </c>
      <c r="E162" s="39"/>
      <c r="F162" s="45">
        <f>F163</f>
        <v>0</v>
      </c>
      <c r="G162" s="39"/>
      <c r="H162" s="45">
        <f>H163</f>
        <v>258000</v>
      </c>
      <c r="I162" s="39"/>
      <c r="J162" s="45">
        <f>J163</f>
        <v>258000</v>
      </c>
      <c r="K162" s="39"/>
      <c r="L162" s="45">
        <f>L163</f>
        <v>258000</v>
      </c>
      <c r="M162" s="39"/>
      <c r="N162" s="45">
        <f>N163</f>
        <v>258000</v>
      </c>
      <c r="O162" s="39"/>
      <c r="P162" s="45">
        <f>P163</f>
        <v>258000</v>
      </c>
      <c r="R162" s="45">
        <f>R163</f>
        <v>0</v>
      </c>
      <c r="S162" s="117">
        <f t="shared" si="10"/>
        <v>0</v>
      </c>
    </row>
    <row r="163" spans="1:19" ht="15.75">
      <c r="A163" s="3" t="s">
        <v>327</v>
      </c>
      <c r="B163" s="39" t="s">
        <v>36</v>
      </c>
      <c r="C163" s="39" t="s">
        <v>62</v>
      </c>
      <c r="D163" s="39" t="s">
        <v>292</v>
      </c>
      <c r="E163" s="39" t="s">
        <v>326</v>
      </c>
      <c r="F163" s="45">
        <v>0</v>
      </c>
      <c r="G163" s="39" t="s">
        <v>538</v>
      </c>
      <c r="H163" s="45">
        <f>F163+G163</f>
        <v>258000</v>
      </c>
      <c r="I163" s="39" t="s">
        <v>376</v>
      </c>
      <c r="J163" s="45">
        <f>H163+I163</f>
        <v>258000</v>
      </c>
      <c r="K163" s="39"/>
      <c r="L163" s="45">
        <f>J163+K163</f>
        <v>258000</v>
      </c>
      <c r="M163" s="39"/>
      <c r="N163" s="45">
        <f>L163+M163</f>
        <v>258000</v>
      </c>
      <c r="O163" s="39"/>
      <c r="P163" s="45">
        <f>N163+O163</f>
        <v>258000</v>
      </c>
      <c r="R163" s="45">
        <v>0</v>
      </c>
      <c r="S163" s="117">
        <f t="shared" si="10"/>
        <v>0</v>
      </c>
    </row>
    <row r="164" spans="1:19" ht="47.25">
      <c r="A164" s="66" t="s">
        <v>630</v>
      </c>
      <c r="B164" s="39" t="s">
        <v>36</v>
      </c>
      <c r="C164" s="29" t="s">
        <v>62</v>
      </c>
      <c r="D164" s="8" t="s">
        <v>601</v>
      </c>
      <c r="E164" s="8"/>
      <c r="F164" s="45"/>
      <c r="G164" s="39"/>
      <c r="H164" s="45"/>
      <c r="I164" s="39"/>
      <c r="J164" s="45"/>
      <c r="K164" s="39"/>
      <c r="L164" s="45">
        <f>L165</f>
        <v>7445500</v>
      </c>
      <c r="M164" s="39"/>
      <c r="N164" s="45">
        <f>N165</f>
        <v>7445500</v>
      </c>
      <c r="O164" s="39"/>
      <c r="P164" s="45">
        <f>P165</f>
        <v>7445500</v>
      </c>
      <c r="R164" s="45">
        <f>R165</f>
        <v>0</v>
      </c>
      <c r="S164" s="117">
        <f t="shared" si="10"/>
        <v>0</v>
      </c>
    </row>
    <row r="165" spans="1:19" ht="78.75">
      <c r="A165" s="3" t="s">
        <v>631</v>
      </c>
      <c r="B165" s="39" t="s">
        <v>36</v>
      </c>
      <c r="C165" s="29" t="s">
        <v>62</v>
      </c>
      <c r="D165" s="8" t="s">
        <v>633</v>
      </c>
      <c r="E165" s="8"/>
      <c r="F165" s="45"/>
      <c r="G165" s="39"/>
      <c r="H165" s="45"/>
      <c r="I165" s="39"/>
      <c r="J165" s="45"/>
      <c r="K165" s="39"/>
      <c r="L165" s="45">
        <f>L166</f>
        <v>7445500</v>
      </c>
      <c r="M165" s="39"/>
      <c r="N165" s="45">
        <f>N166</f>
        <v>7445500</v>
      </c>
      <c r="O165" s="39"/>
      <c r="P165" s="45">
        <f>P166</f>
        <v>7445500</v>
      </c>
      <c r="R165" s="45">
        <f>R166</f>
        <v>0</v>
      </c>
      <c r="S165" s="117">
        <f t="shared" si="10"/>
        <v>0</v>
      </c>
    </row>
    <row r="166" spans="1:19" ht="48.75" customHeight="1">
      <c r="A166" s="3" t="s">
        <v>632</v>
      </c>
      <c r="B166" s="39" t="s">
        <v>36</v>
      </c>
      <c r="C166" s="29" t="s">
        <v>62</v>
      </c>
      <c r="D166" s="8" t="s">
        <v>634</v>
      </c>
      <c r="E166" s="8"/>
      <c r="F166" s="45"/>
      <c r="G166" s="39"/>
      <c r="H166" s="45"/>
      <c r="I166" s="39"/>
      <c r="J166" s="45"/>
      <c r="K166" s="39"/>
      <c r="L166" s="45">
        <f>L167</f>
        <v>7445500</v>
      </c>
      <c r="M166" s="39"/>
      <c r="N166" s="45">
        <f>N167</f>
        <v>7445500</v>
      </c>
      <c r="O166" s="39"/>
      <c r="P166" s="45">
        <f>P167</f>
        <v>7445500</v>
      </c>
      <c r="R166" s="45">
        <f>R167</f>
        <v>0</v>
      </c>
      <c r="S166" s="117">
        <f t="shared" si="10"/>
        <v>0</v>
      </c>
    </row>
    <row r="167" spans="1:19" ht="36.75" customHeight="1">
      <c r="A167" s="24" t="s">
        <v>365</v>
      </c>
      <c r="B167" s="39" t="s">
        <v>36</v>
      </c>
      <c r="C167" s="29" t="s">
        <v>62</v>
      </c>
      <c r="D167" s="8" t="s">
        <v>634</v>
      </c>
      <c r="E167" s="8" t="s">
        <v>316</v>
      </c>
      <c r="F167" s="45"/>
      <c r="G167" s="39"/>
      <c r="H167" s="45"/>
      <c r="I167" s="39"/>
      <c r="J167" s="45"/>
      <c r="K167" s="39" t="s">
        <v>635</v>
      </c>
      <c r="L167" s="45">
        <f>J167+K167</f>
        <v>7445500</v>
      </c>
      <c r="M167" s="39" t="s">
        <v>376</v>
      </c>
      <c r="N167" s="45">
        <f>L167+M167</f>
        <v>7445500</v>
      </c>
      <c r="O167" s="39"/>
      <c r="P167" s="45">
        <f>N167+O167</f>
        <v>7445500</v>
      </c>
      <c r="R167" s="45">
        <v>0</v>
      </c>
      <c r="S167" s="117">
        <f t="shared" si="10"/>
        <v>0</v>
      </c>
    </row>
    <row r="168" spans="1:19" ht="15.75">
      <c r="A168" s="3" t="s">
        <v>147</v>
      </c>
      <c r="B168" s="10">
        <v>901</v>
      </c>
      <c r="C168" s="10" t="s">
        <v>23</v>
      </c>
      <c r="D168" s="10"/>
      <c r="E168" s="10"/>
      <c r="F168" s="45" t="e">
        <f>F169+F186+F213+F229</f>
        <v>#REF!</v>
      </c>
      <c r="G168" s="10"/>
      <c r="H168" s="45">
        <f>H169+H186+H213+H229</f>
        <v>37568200</v>
      </c>
      <c r="I168" s="10"/>
      <c r="J168" s="45">
        <f>J169+J186+J213+J229</f>
        <v>40518200</v>
      </c>
      <c r="K168" s="10"/>
      <c r="L168" s="45">
        <f>L169+L186+L213+L229</f>
        <v>65366500</v>
      </c>
      <c r="M168" s="10"/>
      <c r="N168" s="45">
        <f>N169+N186+N213+N229</f>
        <v>82613371.42</v>
      </c>
      <c r="O168" s="10"/>
      <c r="P168" s="45">
        <f>P169+P186+P213+P229</f>
        <v>78154512.09</v>
      </c>
      <c r="R168" s="45">
        <f>R169+R186+R213+R229</f>
        <v>7285139.529999999</v>
      </c>
      <c r="S168" s="117">
        <f t="shared" si="10"/>
        <v>9.321457373581563</v>
      </c>
    </row>
    <row r="169" spans="1:19" ht="15.75">
      <c r="A169" s="3" t="s">
        <v>148</v>
      </c>
      <c r="B169" s="10">
        <v>901</v>
      </c>
      <c r="C169" s="10" t="s">
        <v>24</v>
      </c>
      <c r="D169" s="10"/>
      <c r="E169" s="10"/>
      <c r="F169" s="45">
        <f>F172</f>
        <v>0</v>
      </c>
      <c r="G169" s="10"/>
      <c r="H169" s="45">
        <f>H172+H184</f>
        <v>6913600</v>
      </c>
      <c r="I169" s="10"/>
      <c r="J169" s="45">
        <f>J172+J184</f>
        <v>6913600</v>
      </c>
      <c r="K169" s="10"/>
      <c r="L169" s="45">
        <f>L172+L184</f>
        <v>6913600</v>
      </c>
      <c r="M169" s="10"/>
      <c r="N169" s="45">
        <f>N172+N184</f>
        <v>3913600</v>
      </c>
      <c r="O169" s="10"/>
      <c r="P169" s="45">
        <f>P172+P184</f>
        <v>3913600</v>
      </c>
      <c r="R169" s="45">
        <f>R172+R184</f>
        <v>482603</v>
      </c>
      <c r="S169" s="117">
        <f t="shared" si="10"/>
        <v>12.331433973834832</v>
      </c>
    </row>
    <row r="170" spans="1:19" ht="36" customHeight="1" hidden="1">
      <c r="A170" s="32" t="s">
        <v>201</v>
      </c>
      <c r="B170" s="8" t="s">
        <v>36</v>
      </c>
      <c r="C170" s="8" t="s">
        <v>24</v>
      </c>
      <c r="D170" s="8" t="s">
        <v>203</v>
      </c>
      <c r="E170" s="8"/>
      <c r="F170" s="45"/>
      <c r="G170" s="8"/>
      <c r="H170" s="45"/>
      <c r="I170" s="8"/>
      <c r="J170" s="45"/>
      <c r="K170" s="8"/>
      <c r="L170" s="45"/>
      <c r="M170" s="8"/>
      <c r="N170" s="45"/>
      <c r="O170" s="8"/>
      <c r="P170" s="45"/>
      <c r="R170" s="45"/>
      <c r="S170" s="117" t="e">
        <f t="shared" si="10"/>
        <v>#DIV/0!</v>
      </c>
    </row>
    <row r="171" spans="1:19" ht="22.5" customHeight="1" hidden="1">
      <c r="A171" s="32" t="s">
        <v>54</v>
      </c>
      <c r="B171" s="8" t="s">
        <v>36</v>
      </c>
      <c r="C171" s="8" t="s">
        <v>24</v>
      </c>
      <c r="D171" s="8" t="s">
        <v>203</v>
      </c>
      <c r="E171" s="8" t="s">
        <v>38</v>
      </c>
      <c r="F171" s="45"/>
      <c r="G171" s="8"/>
      <c r="H171" s="45"/>
      <c r="I171" s="8"/>
      <c r="J171" s="45"/>
      <c r="K171" s="8"/>
      <c r="L171" s="45"/>
      <c r="M171" s="8"/>
      <c r="N171" s="45"/>
      <c r="O171" s="8"/>
      <c r="P171" s="45"/>
      <c r="R171" s="45"/>
      <c r="S171" s="117" t="e">
        <f t="shared" si="10"/>
        <v>#DIV/0!</v>
      </c>
    </row>
    <row r="172" spans="1:19" ht="15.75">
      <c r="A172" s="3" t="s">
        <v>55</v>
      </c>
      <c r="B172" s="10" t="s">
        <v>36</v>
      </c>
      <c r="C172" s="10" t="s">
        <v>24</v>
      </c>
      <c r="D172" s="10" t="s">
        <v>34</v>
      </c>
      <c r="E172" s="10"/>
      <c r="F172" s="45">
        <f>F173+F175</f>
        <v>0</v>
      </c>
      <c r="G172" s="10"/>
      <c r="H172" s="45">
        <f>H173+H175</f>
        <v>6913600</v>
      </c>
      <c r="I172" s="10"/>
      <c r="J172" s="45">
        <f>J173+J175</f>
        <v>6913600</v>
      </c>
      <c r="K172" s="10"/>
      <c r="L172" s="45">
        <f>L173+L175</f>
        <v>6913600</v>
      </c>
      <c r="M172" s="10"/>
      <c r="N172" s="45">
        <f>N173+N175</f>
        <v>3913600</v>
      </c>
      <c r="O172" s="10"/>
      <c r="P172" s="45">
        <f>P173+P175</f>
        <v>3913600</v>
      </c>
      <c r="R172" s="45">
        <f>R173+R175</f>
        <v>482603</v>
      </c>
      <c r="S172" s="117">
        <f t="shared" si="10"/>
        <v>12.331433973834832</v>
      </c>
    </row>
    <row r="173" spans="1:19" ht="31.5">
      <c r="A173" s="3" t="s">
        <v>731</v>
      </c>
      <c r="B173" s="10" t="s">
        <v>36</v>
      </c>
      <c r="C173" s="10" t="s">
        <v>24</v>
      </c>
      <c r="D173" s="10" t="s">
        <v>56</v>
      </c>
      <c r="E173" s="10"/>
      <c r="F173" s="45">
        <f>F174</f>
        <v>0</v>
      </c>
      <c r="G173" s="10"/>
      <c r="H173" s="45">
        <f>H174</f>
        <v>853000</v>
      </c>
      <c r="I173" s="10"/>
      <c r="J173" s="45">
        <f>J174</f>
        <v>853000</v>
      </c>
      <c r="K173" s="10"/>
      <c r="L173" s="45">
        <f>L174</f>
        <v>853000</v>
      </c>
      <c r="M173" s="10"/>
      <c r="N173" s="45">
        <f>N174</f>
        <v>853000</v>
      </c>
      <c r="O173" s="10"/>
      <c r="P173" s="45">
        <f>P174</f>
        <v>853000</v>
      </c>
      <c r="R173" s="45">
        <f>R174</f>
        <v>482603</v>
      </c>
      <c r="S173" s="117">
        <f t="shared" si="10"/>
        <v>56.57713950762017</v>
      </c>
    </row>
    <row r="174" spans="1:19" ht="47.25">
      <c r="A174" s="1" t="s">
        <v>366</v>
      </c>
      <c r="B174" s="10" t="s">
        <v>36</v>
      </c>
      <c r="C174" s="10" t="s">
        <v>24</v>
      </c>
      <c r="D174" s="10" t="s">
        <v>56</v>
      </c>
      <c r="E174" s="10" t="s">
        <v>325</v>
      </c>
      <c r="F174" s="45">
        <v>0</v>
      </c>
      <c r="G174" s="10" t="s">
        <v>425</v>
      </c>
      <c r="H174" s="45">
        <f>F174+G174</f>
        <v>853000</v>
      </c>
      <c r="I174" s="10" t="s">
        <v>376</v>
      </c>
      <c r="J174" s="45">
        <f>H174+I174</f>
        <v>853000</v>
      </c>
      <c r="K174" s="10"/>
      <c r="L174" s="45">
        <f>J174+K174</f>
        <v>853000</v>
      </c>
      <c r="M174" s="10"/>
      <c r="N174" s="45">
        <f>L174+M174</f>
        <v>853000</v>
      </c>
      <c r="O174" s="10"/>
      <c r="P174" s="45">
        <f>N174+O174</f>
        <v>853000</v>
      </c>
      <c r="R174" s="45">
        <v>482603</v>
      </c>
      <c r="S174" s="117">
        <f t="shared" si="10"/>
        <v>56.57713950762017</v>
      </c>
    </row>
    <row r="175" spans="1:19" ht="30.75" customHeight="1">
      <c r="A175" s="3" t="s">
        <v>57</v>
      </c>
      <c r="B175" s="10" t="s">
        <v>36</v>
      </c>
      <c r="C175" s="10" t="s">
        <v>24</v>
      </c>
      <c r="D175" s="10" t="s">
        <v>58</v>
      </c>
      <c r="E175" s="10"/>
      <c r="F175" s="45">
        <f>F176+F178</f>
        <v>0</v>
      </c>
      <c r="G175" s="10"/>
      <c r="H175" s="45">
        <f>H176+H178</f>
        <v>6060600</v>
      </c>
      <c r="I175" s="10"/>
      <c r="J175" s="45">
        <f>J176+J178</f>
        <v>6060600</v>
      </c>
      <c r="K175" s="10"/>
      <c r="L175" s="45">
        <f>L176+L178</f>
        <v>6060600</v>
      </c>
      <c r="M175" s="10"/>
      <c r="N175" s="45">
        <f>N176+N178</f>
        <v>3060600</v>
      </c>
      <c r="O175" s="10"/>
      <c r="P175" s="45">
        <f>P176+P178</f>
        <v>3060600</v>
      </c>
      <c r="R175" s="45">
        <f>R176+R178</f>
        <v>0</v>
      </c>
      <c r="S175" s="117">
        <f t="shared" si="10"/>
        <v>0</v>
      </c>
    </row>
    <row r="176" spans="1:19" ht="0.75" customHeight="1" hidden="1">
      <c r="A176" s="3" t="s">
        <v>59</v>
      </c>
      <c r="B176" s="10" t="s">
        <v>36</v>
      </c>
      <c r="C176" s="10" t="s">
        <v>24</v>
      </c>
      <c r="D176" s="10" t="s">
        <v>60</v>
      </c>
      <c r="E176" s="10"/>
      <c r="F176" s="45">
        <f>F177</f>
        <v>0</v>
      </c>
      <c r="G176" s="10"/>
      <c r="H176" s="45">
        <f>H177</f>
        <v>0</v>
      </c>
      <c r="I176" s="10"/>
      <c r="J176" s="45">
        <f>J177</f>
        <v>0</v>
      </c>
      <c r="K176" s="10"/>
      <c r="L176" s="45">
        <f>L177</f>
        <v>0</v>
      </c>
      <c r="M176" s="10"/>
      <c r="N176" s="45">
        <f>N177</f>
        <v>0</v>
      </c>
      <c r="O176" s="10"/>
      <c r="P176" s="45">
        <f>P177</f>
        <v>0</v>
      </c>
      <c r="R176" s="45">
        <f>R177</f>
        <v>0</v>
      </c>
      <c r="S176" s="117" t="e">
        <f t="shared" si="10"/>
        <v>#DIV/0!</v>
      </c>
    </row>
    <row r="177" spans="1:19" ht="15" customHeight="1" hidden="1">
      <c r="A177" s="3" t="s">
        <v>71</v>
      </c>
      <c r="B177" s="10" t="s">
        <v>36</v>
      </c>
      <c r="C177" s="10" t="s">
        <v>24</v>
      </c>
      <c r="D177" s="10" t="s">
        <v>60</v>
      </c>
      <c r="E177" s="10" t="s">
        <v>72</v>
      </c>
      <c r="F177" s="45">
        <v>0</v>
      </c>
      <c r="G177" s="10"/>
      <c r="H177" s="45">
        <v>0</v>
      </c>
      <c r="I177" s="10"/>
      <c r="J177" s="45">
        <v>0</v>
      </c>
      <c r="K177" s="10"/>
      <c r="L177" s="45">
        <v>0</v>
      </c>
      <c r="M177" s="10"/>
      <c r="N177" s="45">
        <v>0</v>
      </c>
      <c r="O177" s="10"/>
      <c r="P177" s="45">
        <v>0</v>
      </c>
      <c r="R177" s="45">
        <v>0</v>
      </c>
      <c r="S177" s="117" t="e">
        <f t="shared" si="10"/>
        <v>#DIV/0!</v>
      </c>
    </row>
    <row r="178" spans="1:19" ht="31.5" customHeight="1">
      <c r="A178" s="3" t="s">
        <v>53</v>
      </c>
      <c r="B178" s="10">
        <v>901</v>
      </c>
      <c r="C178" s="10" t="s">
        <v>24</v>
      </c>
      <c r="D178" s="10" t="s">
        <v>194</v>
      </c>
      <c r="E178" s="10"/>
      <c r="F178" s="46">
        <f>F179</f>
        <v>0</v>
      </c>
      <c r="G178" s="10"/>
      <c r="H178" s="46">
        <f>H179</f>
        <v>6060600</v>
      </c>
      <c r="I178" s="10"/>
      <c r="J178" s="46">
        <f>J179</f>
        <v>6060600</v>
      </c>
      <c r="K178" s="10"/>
      <c r="L178" s="46">
        <f>L179</f>
        <v>6060600</v>
      </c>
      <c r="M178" s="10"/>
      <c r="N178" s="46">
        <f>N179</f>
        <v>3060600</v>
      </c>
      <c r="O178" s="10"/>
      <c r="P178" s="46">
        <f>P179</f>
        <v>3060600</v>
      </c>
      <c r="R178" s="46">
        <f>R179</f>
        <v>0</v>
      </c>
      <c r="S178" s="117">
        <f t="shared" si="10"/>
        <v>0</v>
      </c>
    </row>
    <row r="179" spans="1:19" ht="15.75" customHeight="1">
      <c r="A179" s="1" t="s">
        <v>327</v>
      </c>
      <c r="B179" s="10" t="s">
        <v>36</v>
      </c>
      <c r="C179" s="10" t="s">
        <v>24</v>
      </c>
      <c r="D179" s="10" t="s">
        <v>194</v>
      </c>
      <c r="E179" s="10" t="s">
        <v>326</v>
      </c>
      <c r="F179" s="46">
        <v>0</v>
      </c>
      <c r="G179" s="10" t="s">
        <v>436</v>
      </c>
      <c r="H179" s="46">
        <f>F179+G179</f>
        <v>6060600</v>
      </c>
      <c r="I179" s="10"/>
      <c r="J179" s="46">
        <f>H179+I179</f>
        <v>6060600</v>
      </c>
      <c r="K179" s="10"/>
      <c r="L179" s="46">
        <f>J179+K179</f>
        <v>6060600</v>
      </c>
      <c r="M179" s="10" t="s">
        <v>698</v>
      </c>
      <c r="N179" s="46">
        <f>L179+M179</f>
        <v>3060600</v>
      </c>
      <c r="O179" s="10"/>
      <c r="P179" s="46">
        <f>N179+O179</f>
        <v>3060600</v>
      </c>
      <c r="R179" s="46">
        <v>0</v>
      </c>
      <c r="S179" s="117">
        <f t="shared" si="10"/>
        <v>0</v>
      </c>
    </row>
    <row r="180" spans="1:19" ht="33.75" customHeight="1" hidden="1">
      <c r="A180" s="25" t="s">
        <v>180</v>
      </c>
      <c r="B180" s="39" t="s">
        <v>36</v>
      </c>
      <c r="C180" s="39" t="s">
        <v>24</v>
      </c>
      <c r="D180" s="39" t="s">
        <v>181</v>
      </c>
      <c r="E180" s="56"/>
      <c r="F180" s="45">
        <f>F181</f>
        <v>0</v>
      </c>
      <c r="G180" s="56"/>
      <c r="H180" s="45">
        <f>H181</f>
        <v>0</v>
      </c>
      <c r="I180" s="56"/>
      <c r="J180" s="45">
        <f>J181</f>
        <v>0</v>
      </c>
      <c r="K180" s="56"/>
      <c r="L180" s="45">
        <f>L181</f>
        <v>0</v>
      </c>
      <c r="M180" s="56"/>
      <c r="N180" s="45">
        <f>N181</f>
        <v>0</v>
      </c>
      <c r="O180" s="56"/>
      <c r="P180" s="45">
        <f>P181</f>
        <v>0</v>
      </c>
      <c r="R180" s="45">
        <f>R181</f>
        <v>0</v>
      </c>
      <c r="S180" s="117" t="e">
        <f t="shared" si="10"/>
        <v>#DIV/0!</v>
      </c>
    </row>
    <row r="181" spans="1:19" ht="22.5" customHeight="1" hidden="1">
      <c r="A181" s="25" t="s">
        <v>54</v>
      </c>
      <c r="B181" s="39" t="s">
        <v>36</v>
      </c>
      <c r="C181" s="39" t="s">
        <v>24</v>
      </c>
      <c r="D181" s="39" t="s">
        <v>181</v>
      </c>
      <c r="E181" s="56" t="s">
        <v>38</v>
      </c>
      <c r="F181" s="45">
        <v>0</v>
      </c>
      <c r="G181" s="56"/>
      <c r="H181" s="45">
        <v>0</v>
      </c>
      <c r="I181" s="56"/>
      <c r="J181" s="45">
        <v>0</v>
      </c>
      <c r="K181" s="56"/>
      <c r="L181" s="45">
        <v>0</v>
      </c>
      <c r="M181" s="56"/>
      <c r="N181" s="45">
        <v>0</v>
      </c>
      <c r="O181" s="56"/>
      <c r="P181" s="45">
        <v>0</v>
      </c>
      <c r="R181" s="45">
        <v>0</v>
      </c>
      <c r="S181" s="117" t="e">
        <f t="shared" si="10"/>
        <v>#DIV/0!</v>
      </c>
    </row>
    <row r="182" spans="1:19" ht="31.5" customHeight="1" hidden="1">
      <c r="A182" s="3" t="s">
        <v>101</v>
      </c>
      <c r="B182" s="10" t="s">
        <v>36</v>
      </c>
      <c r="C182" s="10" t="s">
        <v>24</v>
      </c>
      <c r="D182" s="10" t="s">
        <v>260</v>
      </c>
      <c r="E182" s="10"/>
      <c r="F182" s="46">
        <f>F183</f>
        <v>0</v>
      </c>
      <c r="G182" s="10"/>
      <c r="H182" s="46">
        <f>H183</f>
        <v>0</v>
      </c>
      <c r="I182" s="10"/>
      <c r="J182" s="46">
        <f>J183</f>
        <v>0</v>
      </c>
      <c r="K182" s="10"/>
      <c r="L182" s="46">
        <f>L183</f>
        <v>0</v>
      </c>
      <c r="M182" s="10"/>
      <c r="N182" s="46">
        <f>N183</f>
        <v>0</v>
      </c>
      <c r="O182" s="10"/>
      <c r="P182" s="46">
        <f>P183</f>
        <v>0</v>
      </c>
      <c r="R182" s="46">
        <f>R183</f>
        <v>0</v>
      </c>
      <c r="S182" s="117" t="e">
        <f t="shared" si="10"/>
        <v>#DIV/0!</v>
      </c>
    </row>
    <row r="183" spans="1:19" ht="33.75" customHeight="1" hidden="1">
      <c r="A183" s="55" t="s">
        <v>41</v>
      </c>
      <c r="B183" s="54" t="s">
        <v>36</v>
      </c>
      <c r="C183" s="54" t="s">
        <v>24</v>
      </c>
      <c r="D183" s="54" t="s">
        <v>260</v>
      </c>
      <c r="E183" s="54" t="s">
        <v>42</v>
      </c>
      <c r="F183" s="48"/>
      <c r="G183" s="54"/>
      <c r="H183" s="48"/>
      <c r="I183" s="54"/>
      <c r="J183" s="48"/>
      <c r="K183" s="54"/>
      <c r="L183" s="48"/>
      <c r="M183" s="54"/>
      <c r="N183" s="48"/>
      <c r="O183" s="54"/>
      <c r="P183" s="48"/>
      <c r="R183" s="48"/>
      <c r="S183" s="117" t="e">
        <f t="shared" si="10"/>
        <v>#DIV/0!</v>
      </c>
    </row>
    <row r="184" spans="1:19" ht="73.5" customHeight="1" hidden="1">
      <c r="A184" s="25" t="s">
        <v>418</v>
      </c>
      <c r="B184" s="29" t="s">
        <v>36</v>
      </c>
      <c r="C184" s="29" t="s">
        <v>24</v>
      </c>
      <c r="D184" s="29" t="s">
        <v>419</v>
      </c>
      <c r="E184" s="29"/>
      <c r="F184" s="46"/>
      <c r="G184" s="29"/>
      <c r="H184" s="46">
        <f>H185</f>
        <v>0</v>
      </c>
      <c r="I184" s="29"/>
      <c r="J184" s="46">
        <f>J185</f>
        <v>0</v>
      </c>
      <c r="K184" s="29"/>
      <c r="L184" s="46">
        <f>L185</f>
        <v>0</v>
      </c>
      <c r="M184" s="29"/>
      <c r="N184" s="46">
        <f>N185</f>
        <v>0</v>
      </c>
      <c r="O184" s="29"/>
      <c r="P184" s="46">
        <f>P185</f>
        <v>0</v>
      </c>
      <c r="R184" s="46">
        <f>R185</f>
        <v>0</v>
      </c>
      <c r="S184" s="117" t="e">
        <f t="shared" si="10"/>
        <v>#DIV/0!</v>
      </c>
    </row>
    <row r="185" spans="1:19" ht="54.75" customHeight="1" hidden="1">
      <c r="A185" s="1" t="s">
        <v>366</v>
      </c>
      <c r="B185" s="29" t="s">
        <v>36</v>
      </c>
      <c r="C185" s="29" t="s">
        <v>24</v>
      </c>
      <c r="D185" s="29" t="s">
        <v>419</v>
      </c>
      <c r="E185" s="29" t="s">
        <v>325</v>
      </c>
      <c r="F185" s="46"/>
      <c r="G185" s="29" t="s">
        <v>376</v>
      </c>
      <c r="H185" s="46">
        <f>F185+G185</f>
        <v>0</v>
      </c>
      <c r="I185" s="29" t="s">
        <v>376</v>
      </c>
      <c r="J185" s="46">
        <f>H185+I185</f>
        <v>0</v>
      </c>
      <c r="K185" s="29"/>
      <c r="L185" s="46">
        <f>J185+K185</f>
        <v>0</v>
      </c>
      <c r="M185" s="29"/>
      <c r="N185" s="46">
        <f>L185+M185</f>
        <v>0</v>
      </c>
      <c r="O185" s="29"/>
      <c r="P185" s="46">
        <f>N185+O185</f>
        <v>0</v>
      </c>
      <c r="R185" s="46">
        <f>P185+Q185</f>
        <v>0</v>
      </c>
      <c r="S185" s="117" t="e">
        <f t="shared" si="10"/>
        <v>#DIV/0!</v>
      </c>
    </row>
    <row r="186" spans="1:19" ht="15.75">
      <c r="A186" s="4" t="s">
        <v>149</v>
      </c>
      <c r="B186" s="10" t="s">
        <v>36</v>
      </c>
      <c r="C186" s="10" t="s">
        <v>25</v>
      </c>
      <c r="D186" s="10"/>
      <c r="E186" s="10"/>
      <c r="F186" s="45" t="e">
        <f>#REF!+#REF!+F192+F200+#REF!+#REF!</f>
        <v>#REF!</v>
      </c>
      <c r="G186" s="10"/>
      <c r="H186" s="45">
        <f>H192+H200</f>
        <v>15277700</v>
      </c>
      <c r="I186" s="10"/>
      <c r="J186" s="45">
        <f>J192+J200</f>
        <v>18277700</v>
      </c>
      <c r="K186" s="10"/>
      <c r="L186" s="45">
        <f>L192+L200+L207</f>
        <v>43156000</v>
      </c>
      <c r="M186" s="10"/>
      <c r="N186" s="45">
        <f>N192+N200+N207+N197</f>
        <v>64534492.42</v>
      </c>
      <c r="O186" s="10"/>
      <c r="P186" s="45">
        <f>P190+P192+P200+P207+P197</f>
        <v>60032024.09</v>
      </c>
      <c r="R186" s="45">
        <f>R190+R192+R200+R207+R197</f>
        <v>2698747.71</v>
      </c>
      <c r="S186" s="117">
        <f t="shared" si="10"/>
        <v>4.495513437884482</v>
      </c>
    </row>
    <row r="187" spans="1:19" ht="12.75" customHeight="1" hidden="1">
      <c r="A187" s="53" t="s">
        <v>209</v>
      </c>
      <c r="B187" s="10" t="s">
        <v>36</v>
      </c>
      <c r="C187" s="10" t="s">
        <v>25</v>
      </c>
      <c r="D187" s="54" t="s">
        <v>210</v>
      </c>
      <c r="E187" s="54"/>
      <c r="F187" s="50"/>
      <c r="G187" s="54"/>
      <c r="H187" s="50"/>
      <c r="I187" s="54"/>
      <c r="J187" s="50"/>
      <c r="K187" s="54"/>
      <c r="L187" s="50"/>
      <c r="M187" s="54"/>
      <c r="N187" s="50"/>
      <c r="O187" s="54"/>
      <c r="P187" s="50"/>
      <c r="R187" s="50"/>
      <c r="S187" s="117" t="e">
        <f t="shared" si="10"/>
        <v>#DIV/0!</v>
      </c>
    </row>
    <row r="188" spans="1:19" ht="33.75" customHeight="1" hidden="1">
      <c r="A188" s="53" t="s">
        <v>211</v>
      </c>
      <c r="B188" s="10" t="s">
        <v>36</v>
      </c>
      <c r="C188" s="10" t="s">
        <v>25</v>
      </c>
      <c r="D188" s="54" t="s">
        <v>212</v>
      </c>
      <c r="E188" s="54"/>
      <c r="F188" s="50"/>
      <c r="G188" s="54"/>
      <c r="H188" s="50"/>
      <c r="I188" s="54"/>
      <c r="J188" s="50"/>
      <c r="K188" s="54"/>
      <c r="L188" s="50"/>
      <c r="M188" s="54"/>
      <c r="N188" s="50"/>
      <c r="O188" s="54"/>
      <c r="P188" s="50"/>
      <c r="R188" s="50"/>
      <c r="S188" s="117" t="e">
        <f t="shared" si="10"/>
        <v>#DIV/0!</v>
      </c>
    </row>
    <row r="189" spans="1:19" ht="33" customHeight="1" hidden="1">
      <c r="A189" s="55" t="s">
        <v>71</v>
      </c>
      <c r="B189" s="10" t="s">
        <v>36</v>
      </c>
      <c r="C189" s="10" t="s">
        <v>25</v>
      </c>
      <c r="D189" s="54" t="s">
        <v>212</v>
      </c>
      <c r="E189" s="54" t="s">
        <v>72</v>
      </c>
      <c r="F189" s="50"/>
      <c r="G189" s="54"/>
      <c r="H189" s="50"/>
      <c r="I189" s="54"/>
      <c r="J189" s="50"/>
      <c r="K189" s="54"/>
      <c r="L189" s="50"/>
      <c r="M189" s="54"/>
      <c r="N189" s="50"/>
      <c r="O189" s="54"/>
      <c r="P189" s="50"/>
      <c r="R189" s="50"/>
      <c r="S189" s="117" t="e">
        <f t="shared" si="10"/>
        <v>#DIV/0!</v>
      </c>
    </row>
    <row r="190" spans="1:19" s="96" customFormat="1" ht="53.25" customHeight="1">
      <c r="A190" s="67" t="s">
        <v>725</v>
      </c>
      <c r="B190" s="10" t="s">
        <v>36</v>
      </c>
      <c r="C190" s="10" t="s">
        <v>25</v>
      </c>
      <c r="D190" s="10" t="s">
        <v>720</v>
      </c>
      <c r="E190" s="10"/>
      <c r="F190" s="71"/>
      <c r="G190" s="10"/>
      <c r="H190" s="71"/>
      <c r="I190" s="10"/>
      <c r="J190" s="71"/>
      <c r="K190" s="10"/>
      <c r="L190" s="71"/>
      <c r="M190" s="10"/>
      <c r="N190" s="71"/>
      <c r="O190" s="10"/>
      <c r="P190" s="71">
        <f>P191</f>
        <v>2800000</v>
      </c>
      <c r="R190" s="71">
        <f>R191</f>
        <v>0</v>
      </c>
      <c r="S190" s="117">
        <f t="shared" si="10"/>
        <v>0</v>
      </c>
    </row>
    <row r="191" spans="1:19" s="96" customFormat="1" ht="33" customHeight="1">
      <c r="A191" s="25" t="s">
        <v>369</v>
      </c>
      <c r="B191" s="10" t="s">
        <v>36</v>
      </c>
      <c r="C191" s="10" t="s">
        <v>25</v>
      </c>
      <c r="D191" s="10" t="s">
        <v>720</v>
      </c>
      <c r="E191" s="10" t="s">
        <v>368</v>
      </c>
      <c r="F191" s="71"/>
      <c r="G191" s="10"/>
      <c r="H191" s="71"/>
      <c r="I191" s="10"/>
      <c r="J191" s="71"/>
      <c r="K191" s="10"/>
      <c r="L191" s="71"/>
      <c r="M191" s="10"/>
      <c r="N191" s="71"/>
      <c r="O191" s="10" t="s">
        <v>724</v>
      </c>
      <c r="P191" s="71">
        <f>N191+O191</f>
        <v>2800000</v>
      </c>
      <c r="R191" s="71">
        <v>0</v>
      </c>
      <c r="S191" s="117">
        <f t="shared" si="10"/>
        <v>0</v>
      </c>
    </row>
    <row r="192" spans="1:19" ht="31.5">
      <c r="A192" s="3" t="s">
        <v>39</v>
      </c>
      <c r="B192" s="10" t="s">
        <v>36</v>
      </c>
      <c r="C192" s="10" t="s">
        <v>25</v>
      </c>
      <c r="D192" s="10" t="s">
        <v>40</v>
      </c>
      <c r="E192" s="10"/>
      <c r="F192" s="45" t="e">
        <f>#REF!+F195+F194+F193+F196</f>
        <v>#REF!</v>
      </c>
      <c r="G192" s="10"/>
      <c r="H192" s="45">
        <f>H195+H194+H193+H196</f>
        <v>0</v>
      </c>
      <c r="I192" s="10"/>
      <c r="J192" s="45">
        <f>J195+J194+J193+J196</f>
        <v>0</v>
      </c>
      <c r="K192" s="10"/>
      <c r="L192" s="45">
        <f>L195+L194+L193+L196</f>
        <v>250000</v>
      </c>
      <c r="M192" s="10"/>
      <c r="N192" s="45">
        <f>N195+N194+N193+N196</f>
        <v>2750000</v>
      </c>
      <c r="O192" s="10"/>
      <c r="P192" s="45">
        <f>P195+P194+P193+P196</f>
        <v>7261666.67</v>
      </c>
      <c r="R192" s="45">
        <f>R195+R194+R193+R196</f>
        <v>50000</v>
      </c>
      <c r="S192" s="117">
        <f t="shared" si="10"/>
        <v>0.6885471651647707</v>
      </c>
    </row>
    <row r="193" spans="1:19" ht="21" customHeight="1" hidden="1">
      <c r="A193" s="5" t="s">
        <v>371</v>
      </c>
      <c r="B193" s="10" t="s">
        <v>36</v>
      </c>
      <c r="C193" s="10" t="s">
        <v>25</v>
      </c>
      <c r="D193" s="10" t="s">
        <v>40</v>
      </c>
      <c r="E193" s="10" t="s">
        <v>351</v>
      </c>
      <c r="F193" s="45">
        <v>0</v>
      </c>
      <c r="G193" s="10"/>
      <c r="H193" s="45">
        <f>F193+G193</f>
        <v>0</v>
      </c>
      <c r="I193" s="10"/>
      <c r="J193" s="45">
        <f>H193+I193</f>
        <v>0</v>
      </c>
      <c r="K193" s="10"/>
      <c r="L193" s="45">
        <f>J193+K193</f>
        <v>0</v>
      </c>
      <c r="M193" s="10"/>
      <c r="N193" s="45">
        <f>L193+M193</f>
        <v>0</v>
      </c>
      <c r="O193" s="10"/>
      <c r="P193" s="45">
        <f>N193+O193</f>
        <v>0</v>
      </c>
      <c r="R193" s="45">
        <f>P193+Q193</f>
        <v>0</v>
      </c>
      <c r="S193" s="117" t="e">
        <f t="shared" si="10"/>
        <v>#DIV/0!</v>
      </c>
    </row>
    <row r="194" spans="1:19" ht="31.5">
      <c r="A194" s="24" t="s">
        <v>321</v>
      </c>
      <c r="B194" s="10" t="s">
        <v>36</v>
      </c>
      <c r="C194" s="10" t="s">
        <v>25</v>
      </c>
      <c r="D194" s="10" t="s">
        <v>40</v>
      </c>
      <c r="E194" s="10" t="s">
        <v>316</v>
      </c>
      <c r="F194" s="45">
        <v>0</v>
      </c>
      <c r="G194" s="68"/>
      <c r="H194" s="45">
        <f>F194+G194</f>
        <v>0</v>
      </c>
      <c r="I194" s="68"/>
      <c r="J194" s="45">
        <f>H194+I194</f>
        <v>0</v>
      </c>
      <c r="K194" s="68">
        <v>250000</v>
      </c>
      <c r="L194" s="45">
        <f>J194+K194</f>
        <v>250000</v>
      </c>
      <c r="M194" s="68">
        <v>2500000</v>
      </c>
      <c r="N194" s="45">
        <f>L194+M194</f>
        <v>2750000</v>
      </c>
      <c r="O194" s="68">
        <v>2011666.67</v>
      </c>
      <c r="P194" s="45">
        <f>N194+O194</f>
        <v>4761666.67</v>
      </c>
      <c r="R194" s="45">
        <v>50000</v>
      </c>
      <c r="S194" s="117">
        <f t="shared" si="10"/>
        <v>1.0500525018900577</v>
      </c>
    </row>
    <row r="195" spans="1:19" ht="47.25">
      <c r="A195" s="1" t="s">
        <v>352</v>
      </c>
      <c r="B195" s="10" t="s">
        <v>36</v>
      </c>
      <c r="C195" s="10" t="s">
        <v>25</v>
      </c>
      <c r="D195" s="10" t="s">
        <v>40</v>
      </c>
      <c r="E195" s="10" t="s">
        <v>353</v>
      </c>
      <c r="F195" s="45">
        <v>0</v>
      </c>
      <c r="G195" s="10" t="s">
        <v>376</v>
      </c>
      <c r="H195" s="45">
        <f>F195+G195</f>
        <v>0</v>
      </c>
      <c r="I195" s="10" t="s">
        <v>376</v>
      </c>
      <c r="J195" s="45">
        <f>H195+I195</f>
        <v>0</v>
      </c>
      <c r="K195" s="10"/>
      <c r="L195" s="45">
        <f>J195+K195</f>
        <v>0</v>
      </c>
      <c r="M195" s="10"/>
      <c r="N195" s="45">
        <f>L195+M195</f>
        <v>0</v>
      </c>
      <c r="O195" s="10" t="s">
        <v>726</v>
      </c>
      <c r="P195" s="45">
        <f>N195+O195</f>
        <v>2500000</v>
      </c>
      <c r="R195" s="45">
        <v>0</v>
      </c>
      <c r="S195" s="117">
        <f t="shared" si="10"/>
        <v>0</v>
      </c>
    </row>
    <row r="196" spans="1:19" ht="27" customHeight="1" hidden="1">
      <c r="A196" s="1" t="s">
        <v>322</v>
      </c>
      <c r="B196" s="10" t="s">
        <v>36</v>
      </c>
      <c r="C196" s="10" t="s">
        <v>25</v>
      </c>
      <c r="D196" s="10" t="s">
        <v>40</v>
      </c>
      <c r="E196" s="10" t="s">
        <v>317</v>
      </c>
      <c r="F196" s="45">
        <v>0</v>
      </c>
      <c r="G196" s="10" t="s">
        <v>376</v>
      </c>
      <c r="H196" s="45">
        <f>F196+G196</f>
        <v>0</v>
      </c>
      <c r="I196" s="10" t="s">
        <v>376</v>
      </c>
      <c r="J196" s="45">
        <f>H196+I196</f>
        <v>0</v>
      </c>
      <c r="K196" s="10"/>
      <c r="L196" s="45">
        <f>J196+K196</f>
        <v>0</v>
      </c>
      <c r="M196" s="10"/>
      <c r="N196" s="45">
        <f>L196+M196</f>
        <v>0</v>
      </c>
      <c r="O196" s="10"/>
      <c r="P196" s="45">
        <f>N196+O196</f>
        <v>0</v>
      </c>
      <c r="R196" s="45">
        <f>P196+Q196</f>
        <v>0</v>
      </c>
      <c r="S196" s="117" t="e">
        <f t="shared" si="10"/>
        <v>#DIV/0!</v>
      </c>
    </row>
    <row r="197" spans="1:19" ht="15.75">
      <c r="A197" s="3" t="s">
        <v>636</v>
      </c>
      <c r="B197" s="8" t="s">
        <v>36</v>
      </c>
      <c r="C197" s="29" t="s">
        <v>25</v>
      </c>
      <c r="D197" s="8" t="s">
        <v>681</v>
      </c>
      <c r="E197" s="8"/>
      <c r="F197" s="77"/>
      <c r="G197" s="81"/>
      <c r="H197" s="77"/>
      <c r="I197" s="81"/>
      <c r="J197" s="77"/>
      <c r="K197" s="82"/>
      <c r="L197" s="77"/>
      <c r="M197" s="82"/>
      <c r="N197" s="77">
        <f>N198</f>
        <v>978492.42</v>
      </c>
      <c r="O197" s="82"/>
      <c r="P197" s="77">
        <f>P198</f>
        <v>978492.42</v>
      </c>
      <c r="R197" s="77">
        <f>R198</f>
        <v>0</v>
      </c>
      <c r="S197" s="117">
        <f t="shared" si="10"/>
        <v>0</v>
      </c>
    </row>
    <row r="198" spans="1:19" ht="31.5">
      <c r="A198" s="18" t="s">
        <v>682</v>
      </c>
      <c r="B198" s="8" t="s">
        <v>36</v>
      </c>
      <c r="C198" s="29" t="s">
        <v>25</v>
      </c>
      <c r="D198" s="8" t="s">
        <v>683</v>
      </c>
      <c r="E198" s="8"/>
      <c r="F198" s="77">
        <f>F199</f>
        <v>0</v>
      </c>
      <c r="G198" s="81"/>
      <c r="H198" s="77">
        <f>H199</f>
        <v>0</v>
      </c>
      <c r="I198" s="81"/>
      <c r="J198" s="77">
        <f>J199</f>
        <v>0</v>
      </c>
      <c r="K198" s="82"/>
      <c r="L198" s="77">
        <f>L199</f>
        <v>0</v>
      </c>
      <c r="M198" s="82"/>
      <c r="N198" s="77">
        <f>N199</f>
        <v>978492.42</v>
      </c>
      <c r="O198" s="82"/>
      <c r="P198" s="77">
        <f>P199</f>
        <v>978492.42</v>
      </c>
      <c r="R198" s="77">
        <f>R199</f>
        <v>0</v>
      </c>
      <c r="S198" s="117">
        <f t="shared" si="10"/>
        <v>0</v>
      </c>
    </row>
    <row r="199" spans="1:19" ht="47.25">
      <c r="A199" s="25" t="s">
        <v>369</v>
      </c>
      <c r="B199" s="8" t="s">
        <v>36</v>
      </c>
      <c r="C199" s="29" t="s">
        <v>25</v>
      </c>
      <c r="D199" s="8" t="s">
        <v>683</v>
      </c>
      <c r="E199" s="8" t="s">
        <v>368</v>
      </c>
      <c r="F199" s="77">
        <v>0</v>
      </c>
      <c r="G199" s="81"/>
      <c r="H199" s="77">
        <f>F199+G199</f>
        <v>0</v>
      </c>
      <c r="I199" s="81"/>
      <c r="J199" s="77">
        <f>H199+I199</f>
        <v>0</v>
      </c>
      <c r="K199" s="82"/>
      <c r="L199" s="77">
        <f>J199+K199</f>
        <v>0</v>
      </c>
      <c r="M199" s="82">
        <v>978492.42</v>
      </c>
      <c r="N199" s="77">
        <f>L199+M199</f>
        <v>978492.42</v>
      </c>
      <c r="O199" s="82"/>
      <c r="P199" s="77">
        <f>N199+O199</f>
        <v>978492.42</v>
      </c>
      <c r="R199" s="77">
        <v>0</v>
      </c>
      <c r="S199" s="117">
        <f t="shared" si="10"/>
        <v>0</v>
      </c>
    </row>
    <row r="200" spans="1:19" ht="15.75">
      <c r="A200" s="18" t="s">
        <v>307</v>
      </c>
      <c r="B200" s="8" t="s">
        <v>36</v>
      </c>
      <c r="C200" s="29" t="s">
        <v>25</v>
      </c>
      <c r="D200" s="8" t="s">
        <v>78</v>
      </c>
      <c r="E200" s="8"/>
      <c r="F200" s="47">
        <f>F201+F203+F205</f>
        <v>0</v>
      </c>
      <c r="G200" s="8"/>
      <c r="H200" s="47">
        <f>H201+H203+H205</f>
        <v>15277700</v>
      </c>
      <c r="I200" s="8"/>
      <c r="J200" s="47">
        <f>J201+J203+J205</f>
        <v>18277700</v>
      </c>
      <c r="K200" s="8"/>
      <c r="L200" s="47">
        <f>L201+L203+L205</f>
        <v>18277700</v>
      </c>
      <c r="M200" s="8"/>
      <c r="N200" s="47">
        <f>N201+N203+N205</f>
        <v>36177700</v>
      </c>
      <c r="O200" s="8"/>
      <c r="P200" s="47">
        <f>P201+P203+P205</f>
        <v>24363565</v>
      </c>
      <c r="R200" s="47">
        <f>R201+R203+R205</f>
        <v>2648747.71</v>
      </c>
      <c r="S200" s="117">
        <f t="shared" si="10"/>
        <v>10.871757519886765</v>
      </c>
    </row>
    <row r="201" spans="1:19" ht="111.75" customHeight="1" hidden="1">
      <c r="A201" s="1" t="s">
        <v>404</v>
      </c>
      <c r="B201" s="8" t="s">
        <v>36</v>
      </c>
      <c r="C201" s="29" t="s">
        <v>25</v>
      </c>
      <c r="D201" s="8" t="s">
        <v>287</v>
      </c>
      <c r="E201" s="8"/>
      <c r="F201" s="47">
        <f>F202</f>
        <v>0</v>
      </c>
      <c r="G201" s="8"/>
      <c r="H201" s="47">
        <f>H202</f>
        <v>0</v>
      </c>
      <c r="I201" s="8"/>
      <c r="J201" s="47">
        <f>J202</f>
        <v>0</v>
      </c>
      <c r="K201" s="8"/>
      <c r="L201" s="47">
        <f>L202</f>
        <v>0</v>
      </c>
      <c r="M201" s="8"/>
      <c r="N201" s="47">
        <f>N202</f>
        <v>0</v>
      </c>
      <c r="O201" s="8"/>
      <c r="P201" s="47">
        <f>P202</f>
        <v>0</v>
      </c>
      <c r="R201" s="47">
        <f>R202</f>
        <v>0</v>
      </c>
      <c r="S201" s="117" t="e">
        <f t="shared" si="10"/>
        <v>#DIV/0!</v>
      </c>
    </row>
    <row r="202" spans="1:19" ht="0.75" customHeight="1" hidden="1">
      <c r="A202" s="24" t="s">
        <v>321</v>
      </c>
      <c r="B202" s="8" t="s">
        <v>36</v>
      </c>
      <c r="C202" s="29" t="s">
        <v>25</v>
      </c>
      <c r="D202" s="8" t="s">
        <v>287</v>
      </c>
      <c r="E202" s="8" t="s">
        <v>316</v>
      </c>
      <c r="F202" s="47">
        <v>0</v>
      </c>
      <c r="G202" s="8"/>
      <c r="H202" s="47">
        <f>F202+G202</f>
        <v>0</v>
      </c>
      <c r="I202" s="8"/>
      <c r="J202" s="47">
        <f>H202+I202</f>
        <v>0</v>
      </c>
      <c r="K202" s="8"/>
      <c r="L202" s="47">
        <f>J202+K202</f>
        <v>0</v>
      </c>
      <c r="M202" s="8"/>
      <c r="N202" s="47">
        <f>L202+M202</f>
        <v>0</v>
      </c>
      <c r="O202" s="8"/>
      <c r="P202" s="47">
        <f>N202+O202</f>
        <v>0</v>
      </c>
      <c r="R202" s="47">
        <f>P202+Q202</f>
        <v>0</v>
      </c>
      <c r="S202" s="117" t="e">
        <f t="shared" si="10"/>
        <v>#DIV/0!</v>
      </c>
    </row>
    <row r="203" spans="1:19" ht="34.5" customHeight="1">
      <c r="A203" s="24" t="s">
        <v>405</v>
      </c>
      <c r="B203" s="8" t="s">
        <v>36</v>
      </c>
      <c r="C203" s="29" t="s">
        <v>25</v>
      </c>
      <c r="D203" s="8" t="s">
        <v>288</v>
      </c>
      <c r="E203" s="8"/>
      <c r="F203" s="47">
        <f>F204</f>
        <v>0</v>
      </c>
      <c r="G203" s="8"/>
      <c r="H203" s="47">
        <f>H204</f>
        <v>12945700</v>
      </c>
      <c r="I203" s="8"/>
      <c r="J203" s="47">
        <f>J204</f>
        <v>15945700</v>
      </c>
      <c r="K203" s="8"/>
      <c r="L203" s="47">
        <f>L204</f>
        <v>15945700</v>
      </c>
      <c r="M203" s="8"/>
      <c r="N203" s="47">
        <f>N204</f>
        <v>15345700</v>
      </c>
      <c r="O203" s="8"/>
      <c r="P203" s="47">
        <f>P204</f>
        <v>15945700</v>
      </c>
      <c r="R203" s="47">
        <f>R204</f>
        <v>2039280.61</v>
      </c>
      <c r="S203" s="117">
        <f t="shared" si="10"/>
        <v>12.78890616278997</v>
      </c>
    </row>
    <row r="204" spans="1:19" ht="51" customHeight="1">
      <c r="A204" s="1" t="s">
        <v>369</v>
      </c>
      <c r="B204" s="8" t="s">
        <v>36</v>
      </c>
      <c r="C204" s="29" t="s">
        <v>25</v>
      </c>
      <c r="D204" s="8" t="s">
        <v>288</v>
      </c>
      <c r="E204" s="8" t="s">
        <v>368</v>
      </c>
      <c r="F204" s="47">
        <v>0</v>
      </c>
      <c r="G204" s="8" t="s">
        <v>427</v>
      </c>
      <c r="H204" s="47">
        <f>F204+G204</f>
        <v>12945700</v>
      </c>
      <c r="I204" s="8" t="s">
        <v>560</v>
      </c>
      <c r="J204" s="47">
        <f>H204+I204</f>
        <v>15945700</v>
      </c>
      <c r="K204" s="8"/>
      <c r="L204" s="47">
        <f>J204+K204</f>
        <v>15945700</v>
      </c>
      <c r="M204" s="8" t="s">
        <v>693</v>
      </c>
      <c r="N204" s="47">
        <f>L204+M204</f>
        <v>15345700</v>
      </c>
      <c r="O204" s="8" t="s">
        <v>502</v>
      </c>
      <c r="P204" s="47">
        <f>N204+O204</f>
        <v>15945700</v>
      </c>
      <c r="R204" s="47">
        <v>2039280.61</v>
      </c>
      <c r="S204" s="117">
        <f t="shared" si="10"/>
        <v>12.78890616278997</v>
      </c>
    </row>
    <row r="205" spans="1:19" ht="66" customHeight="1">
      <c r="A205" s="36" t="s">
        <v>415</v>
      </c>
      <c r="B205" s="10" t="s">
        <v>36</v>
      </c>
      <c r="C205" s="10" t="s">
        <v>25</v>
      </c>
      <c r="D205" s="10" t="s">
        <v>416</v>
      </c>
      <c r="E205" s="10"/>
      <c r="F205" s="71">
        <f>F206</f>
        <v>0</v>
      </c>
      <c r="G205" s="21"/>
      <c r="H205" s="71">
        <f>H206</f>
        <v>2332000</v>
      </c>
      <c r="I205" s="21"/>
      <c r="J205" s="71">
        <f>J206</f>
        <v>2332000</v>
      </c>
      <c r="K205" s="21"/>
      <c r="L205" s="71">
        <f>L206</f>
        <v>2332000</v>
      </c>
      <c r="M205" s="21"/>
      <c r="N205" s="71">
        <f>N206</f>
        <v>20832000</v>
      </c>
      <c r="O205" s="21"/>
      <c r="P205" s="71">
        <f>P206</f>
        <v>8417865</v>
      </c>
      <c r="R205" s="71">
        <f>R206</f>
        <v>609467.1</v>
      </c>
      <c r="S205" s="117">
        <f aca="true" t="shared" si="11" ref="S205:S268">R205/P205*100</f>
        <v>7.240162440238707</v>
      </c>
    </row>
    <row r="206" spans="1:19" ht="32.25" customHeight="1">
      <c r="A206" s="24" t="s">
        <v>365</v>
      </c>
      <c r="B206" s="10" t="s">
        <v>36</v>
      </c>
      <c r="C206" s="10" t="s">
        <v>25</v>
      </c>
      <c r="D206" s="10" t="s">
        <v>416</v>
      </c>
      <c r="E206" s="10" t="s">
        <v>316</v>
      </c>
      <c r="F206" s="71">
        <v>0</v>
      </c>
      <c r="G206" s="72">
        <v>2332000</v>
      </c>
      <c r="H206" s="71">
        <f>F206+G206</f>
        <v>2332000</v>
      </c>
      <c r="I206" s="72">
        <v>0</v>
      </c>
      <c r="J206" s="71">
        <f>H206+I206</f>
        <v>2332000</v>
      </c>
      <c r="K206" s="72"/>
      <c r="L206" s="71">
        <f>J206+K206</f>
        <v>2332000</v>
      </c>
      <c r="M206" s="72">
        <v>18500000</v>
      </c>
      <c r="N206" s="71">
        <f>L206+M206</f>
        <v>20832000</v>
      </c>
      <c r="O206" s="72">
        <f>-600000-2500000-9314135</f>
        <v>-12414135</v>
      </c>
      <c r="P206" s="71">
        <f>N206+O206</f>
        <v>8417865</v>
      </c>
      <c r="R206" s="71">
        <v>609467.1</v>
      </c>
      <c r="S206" s="117">
        <f t="shared" si="11"/>
        <v>7.240162440238707</v>
      </c>
    </row>
    <row r="207" spans="1:19" ht="15.75">
      <c r="A207" s="86" t="s">
        <v>636</v>
      </c>
      <c r="B207" s="10" t="s">
        <v>36</v>
      </c>
      <c r="C207" s="10" t="s">
        <v>25</v>
      </c>
      <c r="D207" s="10" t="s">
        <v>637</v>
      </c>
      <c r="E207" s="10"/>
      <c r="F207" s="87"/>
      <c r="G207" s="88"/>
      <c r="H207" s="87"/>
      <c r="I207" s="88"/>
      <c r="J207" s="87"/>
      <c r="K207" s="89"/>
      <c r="L207" s="87">
        <f>L208+L210</f>
        <v>24628300</v>
      </c>
      <c r="M207" s="89"/>
      <c r="N207" s="87">
        <f>N208+N210</f>
        <v>24628300</v>
      </c>
      <c r="O207" s="89"/>
      <c r="P207" s="87">
        <f>P208+P210</f>
        <v>24628300</v>
      </c>
      <c r="R207" s="87">
        <f>R208+R210</f>
        <v>0</v>
      </c>
      <c r="S207" s="117">
        <f t="shared" si="11"/>
        <v>0</v>
      </c>
    </row>
    <row r="208" spans="1:19" ht="55.5" customHeight="1">
      <c r="A208" s="24" t="s">
        <v>742</v>
      </c>
      <c r="B208" s="10" t="s">
        <v>36</v>
      </c>
      <c r="C208" s="10" t="s">
        <v>25</v>
      </c>
      <c r="D208" s="10" t="s">
        <v>638</v>
      </c>
      <c r="E208" s="10"/>
      <c r="F208" s="87"/>
      <c r="G208" s="88"/>
      <c r="H208" s="87"/>
      <c r="I208" s="88"/>
      <c r="J208" s="87"/>
      <c r="K208" s="89"/>
      <c r="L208" s="87">
        <f>L209</f>
        <v>16509600</v>
      </c>
      <c r="M208" s="89"/>
      <c r="N208" s="87">
        <f>N209</f>
        <v>16509600</v>
      </c>
      <c r="O208" s="89"/>
      <c r="P208" s="87">
        <f>P209</f>
        <v>16509600</v>
      </c>
      <c r="R208" s="87">
        <f>R209</f>
        <v>0</v>
      </c>
      <c r="S208" s="117">
        <f t="shared" si="11"/>
        <v>0</v>
      </c>
    </row>
    <row r="209" spans="1:19" ht="37.5" customHeight="1">
      <c r="A209" s="24" t="s">
        <v>365</v>
      </c>
      <c r="B209" s="10" t="s">
        <v>36</v>
      </c>
      <c r="C209" s="10" t="s">
        <v>25</v>
      </c>
      <c r="D209" s="10" t="s">
        <v>638</v>
      </c>
      <c r="E209" s="10" t="s">
        <v>316</v>
      </c>
      <c r="F209" s="87"/>
      <c r="G209" s="90"/>
      <c r="H209" s="87"/>
      <c r="I209" s="90"/>
      <c r="J209" s="87"/>
      <c r="K209" s="91">
        <v>16509600</v>
      </c>
      <c r="L209" s="87">
        <f>J209+K209</f>
        <v>16509600</v>
      </c>
      <c r="M209" s="91">
        <v>0</v>
      </c>
      <c r="N209" s="87">
        <f>L209+M209</f>
        <v>16509600</v>
      </c>
      <c r="O209" s="91"/>
      <c r="P209" s="87">
        <f>N209+O209</f>
        <v>16509600</v>
      </c>
      <c r="R209" s="87">
        <v>0</v>
      </c>
      <c r="S209" s="117">
        <f t="shared" si="11"/>
        <v>0</v>
      </c>
    </row>
    <row r="210" spans="1:19" ht="20.25" customHeight="1">
      <c r="A210" s="24" t="s">
        <v>597</v>
      </c>
      <c r="B210" s="10" t="s">
        <v>36</v>
      </c>
      <c r="C210" s="10" t="s">
        <v>25</v>
      </c>
      <c r="D210" s="10" t="s">
        <v>599</v>
      </c>
      <c r="E210" s="10"/>
      <c r="F210" s="71"/>
      <c r="G210" s="72"/>
      <c r="H210" s="71"/>
      <c r="I210" s="72"/>
      <c r="J210" s="71"/>
      <c r="K210" s="72"/>
      <c r="L210" s="71">
        <f>L211</f>
        <v>8118700</v>
      </c>
      <c r="M210" s="72"/>
      <c r="N210" s="71">
        <f>N211</f>
        <v>8118700</v>
      </c>
      <c r="O210" s="72"/>
      <c r="P210" s="71">
        <f>P211</f>
        <v>8118700</v>
      </c>
      <c r="R210" s="71">
        <f>R211</f>
        <v>0</v>
      </c>
      <c r="S210" s="117">
        <f t="shared" si="11"/>
        <v>0</v>
      </c>
    </row>
    <row r="211" spans="1:19" ht="35.25" customHeight="1">
      <c r="A211" s="24" t="s">
        <v>598</v>
      </c>
      <c r="B211" s="10" t="s">
        <v>36</v>
      </c>
      <c r="C211" s="10" t="s">
        <v>25</v>
      </c>
      <c r="D211" s="10" t="s">
        <v>595</v>
      </c>
      <c r="E211" s="10"/>
      <c r="F211" s="71"/>
      <c r="G211" s="72"/>
      <c r="H211" s="71"/>
      <c r="I211" s="72"/>
      <c r="J211" s="71"/>
      <c r="K211" s="72"/>
      <c r="L211" s="71">
        <f>L212</f>
        <v>8118700</v>
      </c>
      <c r="M211" s="72"/>
      <c r="N211" s="71">
        <f>N212</f>
        <v>8118700</v>
      </c>
      <c r="O211" s="72"/>
      <c r="P211" s="71">
        <f>P212</f>
        <v>8118700</v>
      </c>
      <c r="R211" s="71">
        <f>R212</f>
        <v>0</v>
      </c>
      <c r="S211" s="117">
        <f t="shared" si="11"/>
        <v>0</v>
      </c>
    </row>
    <row r="212" spans="1:19" ht="50.25" customHeight="1">
      <c r="A212" s="1" t="s">
        <v>369</v>
      </c>
      <c r="B212" s="10" t="s">
        <v>36</v>
      </c>
      <c r="C212" s="10" t="s">
        <v>25</v>
      </c>
      <c r="D212" s="10" t="s">
        <v>595</v>
      </c>
      <c r="E212" s="10" t="s">
        <v>368</v>
      </c>
      <c r="F212" s="71"/>
      <c r="G212" s="72"/>
      <c r="H212" s="71"/>
      <c r="I212" s="72"/>
      <c r="J212" s="71"/>
      <c r="K212" s="72">
        <v>8118700</v>
      </c>
      <c r="L212" s="71">
        <f>J212+K212</f>
        <v>8118700</v>
      </c>
      <c r="M212" s="72">
        <v>0</v>
      </c>
      <c r="N212" s="71">
        <f>L212+M212</f>
        <v>8118700</v>
      </c>
      <c r="O212" s="72"/>
      <c r="P212" s="71">
        <f>N212+O212</f>
        <v>8118700</v>
      </c>
      <c r="R212" s="71">
        <v>0</v>
      </c>
      <c r="S212" s="117">
        <f t="shared" si="11"/>
        <v>0</v>
      </c>
    </row>
    <row r="213" spans="1:19" ht="15.75">
      <c r="A213" s="3" t="s">
        <v>44</v>
      </c>
      <c r="B213" s="10" t="s">
        <v>36</v>
      </c>
      <c r="C213" s="10" t="s">
        <v>43</v>
      </c>
      <c r="D213" s="10"/>
      <c r="E213" s="10"/>
      <c r="F213" s="71" t="e">
        <f>F214+F223+F227</f>
        <v>#REF!</v>
      </c>
      <c r="G213" s="10"/>
      <c r="H213" s="71">
        <f>H214+H223+H227</f>
        <v>10963400</v>
      </c>
      <c r="I213" s="10"/>
      <c r="J213" s="71">
        <f>J214+J223+J227</f>
        <v>10913400</v>
      </c>
      <c r="K213" s="10"/>
      <c r="L213" s="71">
        <f>L214+L223+L227</f>
        <v>10883400</v>
      </c>
      <c r="M213" s="10"/>
      <c r="N213" s="71">
        <f>N214+N223+N227</f>
        <v>10851779</v>
      </c>
      <c r="O213" s="10"/>
      <c r="P213" s="71">
        <f>P214+P223+P227</f>
        <v>10895388</v>
      </c>
      <c r="R213" s="71">
        <f>R214+R223+R227</f>
        <v>3954142.3</v>
      </c>
      <c r="S213" s="117">
        <f t="shared" si="11"/>
        <v>36.29189066052535</v>
      </c>
    </row>
    <row r="214" spans="1:19" ht="15.75">
      <c r="A214" s="3" t="s">
        <v>44</v>
      </c>
      <c r="B214" s="10" t="s">
        <v>36</v>
      </c>
      <c r="C214" s="10" t="s">
        <v>43</v>
      </c>
      <c r="D214" s="10" t="s">
        <v>37</v>
      </c>
      <c r="E214" s="10"/>
      <c r="F214" s="46">
        <f>F215+F217+F219+F221</f>
        <v>0</v>
      </c>
      <c r="G214" s="10"/>
      <c r="H214" s="46">
        <f>H215+H217+H219+H221</f>
        <v>10837400</v>
      </c>
      <c r="I214" s="10"/>
      <c r="J214" s="46">
        <f>J215+J217+J219+J221</f>
        <v>10761800</v>
      </c>
      <c r="K214" s="10"/>
      <c r="L214" s="46">
        <f>L215+L217+L219+L221</f>
        <v>10731800</v>
      </c>
      <c r="M214" s="10"/>
      <c r="N214" s="46">
        <f>N215+N217+N219+N221</f>
        <v>10700179</v>
      </c>
      <c r="O214" s="10"/>
      <c r="P214" s="46">
        <f>P215+P217+P219+P221</f>
        <v>10743788</v>
      </c>
      <c r="R214" s="46">
        <f>R215+R217+R219+R221</f>
        <v>3954142.3</v>
      </c>
      <c r="S214" s="117">
        <f t="shared" si="11"/>
        <v>36.803986638604556</v>
      </c>
    </row>
    <row r="215" spans="1:19" ht="15.75">
      <c r="A215" s="3" t="s">
        <v>45</v>
      </c>
      <c r="B215" s="10" t="s">
        <v>36</v>
      </c>
      <c r="C215" s="10" t="s">
        <v>43</v>
      </c>
      <c r="D215" s="10" t="s">
        <v>46</v>
      </c>
      <c r="E215" s="10"/>
      <c r="F215" s="45">
        <f>F216</f>
        <v>0</v>
      </c>
      <c r="G215" s="10"/>
      <c r="H215" s="45">
        <f>H216</f>
        <v>6317400</v>
      </c>
      <c r="I215" s="10"/>
      <c r="J215" s="45">
        <f>J216</f>
        <v>6317400</v>
      </c>
      <c r="K215" s="10"/>
      <c r="L215" s="45">
        <f>L216</f>
        <v>6287400</v>
      </c>
      <c r="M215" s="10"/>
      <c r="N215" s="45">
        <f>N216</f>
        <v>6267400</v>
      </c>
      <c r="O215" s="10"/>
      <c r="P215" s="45">
        <f>P216</f>
        <v>6267400</v>
      </c>
      <c r="R215" s="45">
        <f>R216</f>
        <v>2598582.27</v>
      </c>
      <c r="S215" s="117">
        <f t="shared" si="11"/>
        <v>41.46188642818394</v>
      </c>
    </row>
    <row r="216" spans="1:19" ht="32.25" customHeight="1">
      <c r="A216" s="24" t="s">
        <v>321</v>
      </c>
      <c r="B216" s="10" t="s">
        <v>36</v>
      </c>
      <c r="C216" s="10" t="s">
        <v>43</v>
      </c>
      <c r="D216" s="10" t="s">
        <v>46</v>
      </c>
      <c r="E216" s="10" t="s">
        <v>316</v>
      </c>
      <c r="F216" s="45">
        <v>0</v>
      </c>
      <c r="G216" s="68">
        <v>6317400</v>
      </c>
      <c r="H216" s="45">
        <f>F216+G216</f>
        <v>6317400</v>
      </c>
      <c r="I216" s="68">
        <v>0</v>
      </c>
      <c r="J216" s="45">
        <f>H216+I216</f>
        <v>6317400</v>
      </c>
      <c r="K216" s="68">
        <v>-30000</v>
      </c>
      <c r="L216" s="45">
        <f>J216+K216</f>
        <v>6287400</v>
      </c>
      <c r="M216" s="68">
        <v>-20000</v>
      </c>
      <c r="N216" s="45">
        <f>L216+M216</f>
        <v>6267400</v>
      </c>
      <c r="O216" s="68"/>
      <c r="P216" s="45">
        <f>N216+O216</f>
        <v>6267400</v>
      </c>
      <c r="R216" s="45">
        <v>2598582.27</v>
      </c>
      <c r="S216" s="117">
        <f t="shared" si="11"/>
        <v>41.46188642818394</v>
      </c>
    </row>
    <row r="217" spans="1:19" ht="0.75" customHeight="1" hidden="1">
      <c r="A217" s="3" t="s">
        <v>393</v>
      </c>
      <c r="B217" s="10" t="s">
        <v>36</v>
      </c>
      <c r="C217" s="10" t="s">
        <v>43</v>
      </c>
      <c r="D217" s="10" t="s">
        <v>394</v>
      </c>
      <c r="E217" s="10"/>
      <c r="F217" s="45">
        <f>F218</f>
        <v>0</v>
      </c>
      <c r="G217" s="10"/>
      <c r="H217" s="45">
        <f>H218</f>
        <v>0</v>
      </c>
      <c r="I217" s="10"/>
      <c r="J217" s="45">
        <f>J218</f>
        <v>0</v>
      </c>
      <c r="K217" s="10"/>
      <c r="L217" s="45">
        <f>L218</f>
        <v>0</v>
      </c>
      <c r="M217" s="10"/>
      <c r="N217" s="45">
        <f>N218</f>
        <v>0</v>
      </c>
      <c r="O217" s="10"/>
      <c r="P217" s="45">
        <f>P218</f>
        <v>0</v>
      </c>
      <c r="R217" s="45">
        <f>R218</f>
        <v>0</v>
      </c>
      <c r="S217" s="117" t="e">
        <f t="shared" si="11"/>
        <v>#DIV/0!</v>
      </c>
    </row>
    <row r="218" spans="1:19" ht="33.75" customHeight="1" hidden="1">
      <c r="A218" s="24" t="s">
        <v>321</v>
      </c>
      <c r="B218" s="10" t="s">
        <v>36</v>
      </c>
      <c r="C218" s="10" t="s">
        <v>43</v>
      </c>
      <c r="D218" s="10" t="s">
        <v>394</v>
      </c>
      <c r="E218" s="10" t="s">
        <v>316</v>
      </c>
      <c r="F218" s="45">
        <v>0</v>
      </c>
      <c r="G218" s="10" t="s">
        <v>376</v>
      </c>
      <c r="H218" s="45">
        <f>F218+G218</f>
        <v>0</v>
      </c>
      <c r="I218" s="10" t="s">
        <v>376</v>
      </c>
      <c r="J218" s="45">
        <f>H218+I218</f>
        <v>0</v>
      </c>
      <c r="K218" s="10"/>
      <c r="L218" s="45">
        <f>J218+K218</f>
        <v>0</v>
      </c>
      <c r="M218" s="10"/>
      <c r="N218" s="45">
        <f>L218+M218</f>
        <v>0</v>
      </c>
      <c r="O218" s="10"/>
      <c r="P218" s="45">
        <f>N218+O218</f>
        <v>0</v>
      </c>
      <c r="R218" s="45">
        <f>P218+Q218</f>
        <v>0</v>
      </c>
      <c r="S218" s="117" t="e">
        <f t="shared" si="11"/>
        <v>#DIV/0!</v>
      </c>
    </row>
    <row r="219" spans="1:19" ht="34.5" customHeight="1">
      <c r="A219" s="3" t="s">
        <v>47</v>
      </c>
      <c r="B219" s="10" t="s">
        <v>36</v>
      </c>
      <c r="C219" s="10" t="s">
        <v>43</v>
      </c>
      <c r="D219" s="10" t="s">
        <v>48</v>
      </c>
      <c r="E219" s="10"/>
      <c r="F219" s="45">
        <f>F220</f>
        <v>0</v>
      </c>
      <c r="G219" s="10"/>
      <c r="H219" s="45">
        <f>H220</f>
        <v>700000</v>
      </c>
      <c r="I219" s="10"/>
      <c r="J219" s="45">
        <f>J220</f>
        <v>700000</v>
      </c>
      <c r="K219" s="10"/>
      <c r="L219" s="45">
        <f>L220</f>
        <v>700000</v>
      </c>
      <c r="M219" s="10"/>
      <c r="N219" s="45">
        <f>N220</f>
        <v>680982.62</v>
      </c>
      <c r="O219" s="10"/>
      <c r="P219" s="45">
        <f>P220</f>
        <v>656782.62</v>
      </c>
      <c r="R219" s="45">
        <f>R220</f>
        <v>299510.24</v>
      </c>
      <c r="S219" s="117">
        <f t="shared" si="11"/>
        <v>45.60264399201063</v>
      </c>
    </row>
    <row r="220" spans="1:19" ht="33.75" customHeight="1">
      <c r="A220" s="24" t="s">
        <v>321</v>
      </c>
      <c r="B220" s="10" t="s">
        <v>36</v>
      </c>
      <c r="C220" s="10" t="s">
        <v>43</v>
      </c>
      <c r="D220" s="10" t="s">
        <v>48</v>
      </c>
      <c r="E220" s="10" t="s">
        <v>316</v>
      </c>
      <c r="F220" s="45">
        <v>0</v>
      </c>
      <c r="G220" s="10" t="s">
        <v>428</v>
      </c>
      <c r="H220" s="45">
        <f>F220+G220</f>
        <v>700000</v>
      </c>
      <c r="I220" s="10" t="s">
        <v>376</v>
      </c>
      <c r="J220" s="45">
        <f>H220+I220</f>
        <v>700000</v>
      </c>
      <c r="K220" s="10"/>
      <c r="L220" s="45">
        <f>J220+K220</f>
        <v>700000</v>
      </c>
      <c r="M220" s="68">
        <f>5982.62-20000+10000-15000</f>
        <v>-19017.38</v>
      </c>
      <c r="N220" s="45">
        <f>L220+M220</f>
        <v>680982.62</v>
      </c>
      <c r="O220" s="68">
        <f>-20000-4200</f>
        <v>-24200</v>
      </c>
      <c r="P220" s="45">
        <f>N220+O220</f>
        <v>656782.62</v>
      </c>
      <c r="R220" s="45">
        <v>299510.24</v>
      </c>
      <c r="S220" s="117">
        <f t="shared" si="11"/>
        <v>45.60264399201063</v>
      </c>
    </row>
    <row r="221" spans="1:19" ht="33" customHeight="1">
      <c r="A221" s="3" t="s">
        <v>49</v>
      </c>
      <c r="B221" s="10" t="s">
        <v>36</v>
      </c>
      <c r="C221" s="10" t="s">
        <v>43</v>
      </c>
      <c r="D221" s="10" t="s">
        <v>50</v>
      </c>
      <c r="E221" s="10"/>
      <c r="F221" s="45">
        <f>F222</f>
        <v>0</v>
      </c>
      <c r="G221" s="10"/>
      <c r="H221" s="45">
        <f>H222</f>
        <v>3820000</v>
      </c>
      <c r="I221" s="10"/>
      <c r="J221" s="45">
        <f>J222</f>
        <v>3744400</v>
      </c>
      <c r="K221" s="10"/>
      <c r="L221" s="45">
        <f>L222</f>
        <v>3744400</v>
      </c>
      <c r="M221" s="10"/>
      <c r="N221" s="45">
        <f>N222</f>
        <v>3751796.38</v>
      </c>
      <c r="O221" s="10"/>
      <c r="P221" s="45">
        <f>P222</f>
        <v>3819605.38</v>
      </c>
      <c r="R221" s="45">
        <f>R222</f>
        <v>1056049.79</v>
      </c>
      <c r="S221" s="117">
        <f t="shared" si="11"/>
        <v>27.648138614780148</v>
      </c>
    </row>
    <row r="222" spans="1:19" ht="36" customHeight="1">
      <c r="A222" s="24" t="s">
        <v>321</v>
      </c>
      <c r="B222" s="10">
        <v>901</v>
      </c>
      <c r="C222" s="10" t="s">
        <v>43</v>
      </c>
      <c r="D222" s="10" t="s">
        <v>50</v>
      </c>
      <c r="E222" s="10" t="s">
        <v>316</v>
      </c>
      <c r="F222" s="45">
        <v>0</v>
      </c>
      <c r="G222" s="68">
        <v>3820000</v>
      </c>
      <c r="H222" s="45">
        <f>F222+G222</f>
        <v>3820000</v>
      </c>
      <c r="I222" s="68">
        <v>-75600</v>
      </c>
      <c r="J222" s="45">
        <f>H222+I222</f>
        <v>3744400</v>
      </c>
      <c r="K222" s="68"/>
      <c r="L222" s="45">
        <f>J222+K222</f>
        <v>3744400</v>
      </c>
      <c r="M222" s="68">
        <f>29017.38-11621-10000</f>
        <v>7396.380000000001</v>
      </c>
      <c r="N222" s="45">
        <f>L222+M222</f>
        <v>3751796.38</v>
      </c>
      <c r="O222" s="68">
        <f>4200+63609</f>
        <v>67809</v>
      </c>
      <c r="P222" s="45">
        <f>N222+O222</f>
        <v>3819605.38</v>
      </c>
      <c r="R222" s="45">
        <v>1056049.79</v>
      </c>
      <c r="S222" s="117">
        <f t="shared" si="11"/>
        <v>27.648138614780148</v>
      </c>
    </row>
    <row r="223" spans="1:19" ht="15.75">
      <c r="A223" s="18" t="s">
        <v>307</v>
      </c>
      <c r="B223" s="8" t="s">
        <v>36</v>
      </c>
      <c r="C223" s="29" t="s">
        <v>43</v>
      </c>
      <c r="D223" s="8" t="s">
        <v>78</v>
      </c>
      <c r="E223" s="8"/>
      <c r="F223" s="47" t="e">
        <f>#REF!+F224</f>
        <v>#REF!</v>
      </c>
      <c r="G223" s="8"/>
      <c r="H223" s="47">
        <f>H224</f>
        <v>126000</v>
      </c>
      <c r="I223" s="8"/>
      <c r="J223" s="47">
        <f>J224</f>
        <v>151600</v>
      </c>
      <c r="K223" s="8"/>
      <c r="L223" s="47">
        <f>L224</f>
        <v>151600</v>
      </c>
      <c r="M223" s="8"/>
      <c r="N223" s="47">
        <f>N224</f>
        <v>151600</v>
      </c>
      <c r="O223" s="8"/>
      <c r="P223" s="47">
        <f>P224</f>
        <v>151600</v>
      </c>
      <c r="R223" s="47">
        <f>R224</f>
        <v>0</v>
      </c>
      <c r="S223" s="117">
        <f t="shared" si="11"/>
        <v>0</v>
      </c>
    </row>
    <row r="224" spans="1:19" ht="64.5" customHeight="1">
      <c r="A224" s="25" t="s">
        <v>734</v>
      </c>
      <c r="B224" s="8" t="s">
        <v>36</v>
      </c>
      <c r="C224" s="29" t="s">
        <v>43</v>
      </c>
      <c r="D224" s="8" t="s">
        <v>286</v>
      </c>
      <c r="E224" s="8"/>
      <c r="F224" s="47">
        <f>F225+G227</f>
        <v>0</v>
      </c>
      <c r="G224" s="8"/>
      <c r="H224" s="47">
        <f>H225+H226</f>
        <v>126000</v>
      </c>
      <c r="I224" s="8"/>
      <c r="J224" s="47">
        <f>J225+J226</f>
        <v>151600</v>
      </c>
      <c r="K224" s="8"/>
      <c r="L224" s="47">
        <f>L225+L226</f>
        <v>151600</v>
      </c>
      <c r="M224" s="8"/>
      <c r="N224" s="47">
        <f>N225+N226</f>
        <v>151600</v>
      </c>
      <c r="O224" s="8"/>
      <c r="P224" s="47">
        <f>P225+P226</f>
        <v>151600</v>
      </c>
      <c r="R224" s="47">
        <f>R225+R226</f>
        <v>0</v>
      </c>
      <c r="S224" s="117">
        <f t="shared" si="11"/>
        <v>0</v>
      </c>
    </row>
    <row r="225" spans="1:19" ht="31.5">
      <c r="A225" s="24" t="s">
        <v>321</v>
      </c>
      <c r="B225" s="8" t="s">
        <v>36</v>
      </c>
      <c r="C225" s="29" t="s">
        <v>43</v>
      </c>
      <c r="D225" s="8" t="s">
        <v>286</v>
      </c>
      <c r="E225" s="8" t="s">
        <v>316</v>
      </c>
      <c r="F225" s="47">
        <v>0</v>
      </c>
      <c r="G225" s="8" t="s">
        <v>429</v>
      </c>
      <c r="H225" s="47">
        <f>F225+G225</f>
        <v>126000</v>
      </c>
      <c r="I225" s="8" t="s">
        <v>559</v>
      </c>
      <c r="J225" s="47">
        <f>H225+I225</f>
        <v>151600</v>
      </c>
      <c r="K225" s="8"/>
      <c r="L225" s="47">
        <f>J225+K225</f>
        <v>151600</v>
      </c>
      <c r="M225" s="8"/>
      <c r="N225" s="47">
        <f>L225+M225</f>
        <v>151600</v>
      </c>
      <c r="O225" s="8"/>
      <c r="P225" s="47">
        <f>N225+O225</f>
        <v>151600</v>
      </c>
      <c r="R225" s="47">
        <v>0</v>
      </c>
      <c r="S225" s="117">
        <f t="shared" si="11"/>
        <v>0</v>
      </c>
    </row>
    <row r="226" spans="1:19" ht="19.5" customHeight="1" hidden="1">
      <c r="A226" s="25" t="s">
        <v>327</v>
      </c>
      <c r="B226" s="8" t="s">
        <v>36</v>
      </c>
      <c r="C226" s="29" t="s">
        <v>43</v>
      </c>
      <c r="D226" s="8" t="s">
        <v>286</v>
      </c>
      <c r="E226" s="8" t="s">
        <v>326</v>
      </c>
      <c r="G226" s="8" t="s">
        <v>376</v>
      </c>
      <c r="H226" s="47">
        <f>G227+G226</f>
        <v>0</v>
      </c>
      <c r="I226" s="8" t="s">
        <v>376</v>
      </c>
      <c r="J226" s="47">
        <f>I227+I226</f>
        <v>0</v>
      </c>
      <c r="K226" s="8"/>
      <c r="L226" s="47">
        <f>K227+K226</f>
        <v>0</v>
      </c>
      <c r="M226" s="8"/>
      <c r="N226" s="47">
        <f>M227+M226</f>
        <v>0</v>
      </c>
      <c r="O226" s="8"/>
      <c r="P226" s="47">
        <f>O227+O226</f>
        <v>0</v>
      </c>
      <c r="R226" s="47">
        <f>Q227+Q226</f>
        <v>0</v>
      </c>
      <c r="S226" s="117" t="e">
        <f t="shared" si="11"/>
        <v>#DIV/0!</v>
      </c>
    </row>
    <row r="227" spans="1:19" ht="84" customHeight="1" hidden="1">
      <c r="A227" s="70" t="s">
        <v>407</v>
      </c>
      <c r="B227" s="8" t="s">
        <v>36</v>
      </c>
      <c r="C227" s="29" t="s">
        <v>43</v>
      </c>
      <c r="D227" s="8" t="s">
        <v>406</v>
      </c>
      <c r="E227" s="8"/>
      <c r="F227" s="47">
        <f>F228</f>
        <v>0</v>
      </c>
      <c r="G227" s="47">
        <v>0</v>
      </c>
      <c r="H227" s="47">
        <f>H228</f>
        <v>0</v>
      </c>
      <c r="I227" s="47">
        <v>0</v>
      </c>
      <c r="J227" s="47">
        <f>J228</f>
        <v>0</v>
      </c>
      <c r="K227" s="47"/>
      <c r="L227" s="47">
        <f>L228</f>
        <v>0</v>
      </c>
      <c r="M227" s="47"/>
      <c r="N227" s="47">
        <f>N228</f>
        <v>0</v>
      </c>
      <c r="O227" s="47"/>
      <c r="P227" s="47">
        <f>P228</f>
        <v>0</v>
      </c>
      <c r="R227" s="47">
        <f>R228</f>
        <v>0</v>
      </c>
      <c r="S227" s="117" t="e">
        <f t="shared" si="11"/>
        <v>#DIV/0!</v>
      </c>
    </row>
    <row r="228" spans="1:19" ht="48.75" customHeight="1" hidden="1">
      <c r="A228" s="24" t="s">
        <v>369</v>
      </c>
      <c r="B228" s="8" t="s">
        <v>36</v>
      </c>
      <c r="C228" s="29" t="s">
        <v>43</v>
      </c>
      <c r="D228" s="8" t="s">
        <v>406</v>
      </c>
      <c r="E228" s="8" t="s">
        <v>368</v>
      </c>
      <c r="F228" s="47">
        <v>0</v>
      </c>
      <c r="G228" s="8" t="s">
        <v>376</v>
      </c>
      <c r="H228" s="47">
        <f>F228+G228</f>
        <v>0</v>
      </c>
      <c r="I228" s="8" t="s">
        <v>376</v>
      </c>
      <c r="J228" s="47">
        <f>H228+I228</f>
        <v>0</v>
      </c>
      <c r="K228" s="8"/>
      <c r="L228" s="47">
        <f>J228+K228</f>
        <v>0</v>
      </c>
      <c r="M228" s="8"/>
      <c r="N228" s="47">
        <f>L228+M228</f>
        <v>0</v>
      </c>
      <c r="O228" s="8"/>
      <c r="P228" s="47">
        <f>N228+O228</f>
        <v>0</v>
      </c>
      <c r="R228" s="47">
        <f>P228+Q228</f>
        <v>0</v>
      </c>
      <c r="S228" s="117" t="e">
        <f t="shared" si="11"/>
        <v>#DIV/0!</v>
      </c>
    </row>
    <row r="229" spans="1:19" ht="31.5">
      <c r="A229" s="4" t="s">
        <v>51</v>
      </c>
      <c r="B229" s="10" t="s">
        <v>36</v>
      </c>
      <c r="C229" s="10" t="s">
        <v>52</v>
      </c>
      <c r="D229" s="10"/>
      <c r="E229" s="10"/>
      <c r="F229" s="45">
        <f>F230+F233</f>
        <v>0</v>
      </c>
      <c r="G229" s="10"/>
      <c r="H229" s="45">
        <f>H230+H232</f>
        <v>4413500</v>
      </c>
      <c r="I229" s="10"/>
      <c r="J229" s="45">
        <f>J230+J232</f>
        <v>4413500</v>
      </c>
      <c r="K229" s="10"/>
      <c r="L229" s="45">
        <f>L230+L232</f>
        <v>4413500</v>
      </c>
      <c r="M229" s="10"/>
      <c r="N229" s="45">
        <f>N230+N232</f>
        <v>3313500</v>
      </c>
      <c r="O229" s="10"/>
      <c r="P229" s="45">
        <f>P230+P232</f>
        <v>3313500</v>
      </c>
      <c r="R229" s="45">
        <f>R230+R232</f>
        <v>149646.52</v>
      </c>
      <c r="S229" s="117">
        <f t="shared" si="11"/>
        <v>4.516267390976308</v>
      </c>
    </row>
    <row r="230" spans="1:19" ht="32.25" customHeight="1">
      <c r="A230" s="31" t="s">
        <v>268</v>
      </c>
      <c r="B230" s="10" t="s">
        <v>36</v>
      </c>
      <c r="C230" s="10" t="s">
        <v>52</v>
      </c>
      <c r="D230" s="10" t="s">
        <v>40</v>
      </c>
      <c r="E230" s="10"/>
      <c r="F230" s="45">
        <f>F231</f>
        <v>0</v>
      </c>
      <c r="G230" s="10"/>
      <c r="H230" s="45">
        <f>H231</f>
        <v>300000</v>
      </c>
      <c r="I230" s="10"/>
      <c r="J230" s="45">
        <f>J231</f>
        <v>300000</v>
      </c>
      <c r="K230" s="10"/>
      <c r="L230" s="45">
        <f>L231</f>
        <v>300000</v>
      </c>
      <c r="M230" s="10"/>
      <c r="N230" s="45">
        <f>N231</f>
        <v>300000</v>
      </c>
      <c r="O230" s="10"/>
      <c r="P230" s="45">
        <f>P231</f>
        <v>300000</v>
      </c>
      <c r="R230" s="45">
        <f>R231</f>
        <v>149646.52</v>
      </c>
      <c r="S230" s="117">
        <f t="shared" si="11"/>
        <v>49.88217333333333</v>
      </c>
    </row>
    <row r="231" spans="1:19" ht="47.25">
      <c r="A231" s="1" t="s">
        <v>352</v>
      </c>
      <c r="B231" s="10" t="s">
        <v>36</v>
      </c>
      <c r="C231" s="10" t="s">
        <v>52</v>
      </c>
      <c r="D231" s="10" t="s">
        <v>40</v>
      </c>
      <c r="E231" s="10" t="s">
        <v>353</v>
      </c>
      <c r="F231" s="45">
        <v>0</v>
      </c>
      <c r="G231" s="10" t="s">
        <v>423</v>
      </c>
      <c r="H231" s="45">
        <f>F231+G231</f>
        <v>300000</v>
      </c>
      <c r="I231" s="10" t="s">
        <v>376</v>
      </c>
      <c r="J231" s="45">
        <f>H231+I231</f>
        <v>300000</v>
      </c>
      <c r="K231" s="10"/>
      <c r="L231" s="45">
        <f>J231+K231</f>
        <v>300000</v>
      </c>
      <c r="M231" s="10"/>
      <c r="N231" s="45">
        <f>L231+M231</f>
        <v>300000</v>
      </c>
      <c r="O231" s="10"/>
      <c r="P231" s="45">
        <f>N231+O231</f>
        <v>300000</v>
      </c>
      <c r="R231" s="45">
        <v>149646.52</v>
      </c>
      <c r="S231" s="117">
        <f t="shared" si="11"/>
        <v>49.88217333333333</v>
      </c>
    </row>
    <row r="232" spans="1:19" ht="15.75">
      <c r="A232" s="18" t="s">
        <v>307</v>
      </c>
      <c r="B232" s="10" t="s">
        <v>36</v>
      </c>
      <c r="C232" s="10" t="s">
        <v>52</v>
      </c>
      <c r="D232" s="10" t="s">
        <v>78</v>
      </c>
      <c r="E232" s="10"/>
      <c r="F232" s="45"/>
      <c r="G232" s="10"/>
      <c r="H232" s="45">
        <f>H233</f>
        <v>4113500</v>
      </c>
      <c r="I232" s="10"/>
      <c r="J232" s="45">
        <f>J233</f>
        <v>4113500</v>
      </c>
      <c r="K232" s="10"/>
      <c r="L232" s="45">
        <f>L233</f>
        <v>4113500</v>
      </c>
      <c r="M232" s="10"/>
      <c r="N232" s="45">
        <f>N233</f>
        <v>3013500</v>
      </c>
      <c r="O232" s="10"/>
      <c r="P232" s="45">
        <f>P233</f>
        <v>3013500</v>
      </c>
      <c r="R232" s="45">
        <f>R233</f>
        <v>0</v>
      </c>
      <c r="S232" s="117">
        <f t="shared" si="11"/>
        <v>0</v>
      </c>
    </row>
    <row r="233" spans="1:19" ht="98.25" customHeight="1">
      <c r="A233" s="4" t="s">
        <v>735</v>
      </c>
      <c r="B233" s="10" t="s">
        <v>36</v>
      </c>
      <c r="C233" s="10" t="s">
        <v>52</v>
      </c>
      <c r="D233" s="10" t="s">
        <v>285</v>
      </c>
      <c r="E233" s="10"/>
      <c r="F233" s="45">
        <f>F234</f>
        <v>0</v>
      </c>
      <c r="G233" s="10"/>
      <c r="H233" s="45">
        <f>H234</f>
        <v>4113500</v>
      </c>
      <c r="I233" s="10"/>
      <c r="J233" s="45">
        <f>J234</f>
        <v>4113500</v>
      </c>
      <c r="K233" s="10"/>
      <c r="L233" s="45">
        <f>L234</f>
        <v>4113500</v>
      </c>
      <c r="M233" s="10"/>
      <c r="N233" s="45">
        <f>N234</f>
        <v>3013500</v>
      </c>
      <c r="O233" s="10"/>
      <c r="P233" s="45">
        <f>P234</f>
        <v>3013500</v>
      </c>
      <c r="R233" s="45">
        <f>R234</f>
        <v>0</v>
      </c>
      <c r="S233" s="117">
        <f t="shared" si="11"/>
        <v>0</v>
      </c>
    </row>
    <row r="234" spans="1:19" ht="47.25">
      <c r="A234" s="24" t="s">
        <v>369</v>
      </c>
      <c r="B234" s="10" t="s">
        <v>36</v>
      </c>
      <c r="C234" s="10" t="s">
        <v>52</v>
      </c>
      <c r="D234" s="10" t="s">
        <v>285</v>
      </c>
      <c r="E234" s="10" t="s">
        <v>368</v>
      </c>
      <c r="F234" s="45">
        <v>0</v>
      </c>
      <c r="G234" s="10" t="s">
        <v>547</v>
      </c>
      <c r="H234" s="45">
        <f>F234+G234</f>
        <v>4113500</v>
      </c>
      <c r="I234" s="10" t="s">
        <v>376</v>
      </c>
      <c r="J234" s="45">
        <f>H234+I234</f>
        <v>4113500</v>
      </c>
      <c r="K234" s="10"/>
      <c r="L234" s="45">
        <f>J234+K234</f>
        <v>4113500</v>
      </c>
      <c r="M234" s="10" t="s">
        <v>694</v>
      </c>
      <c r="N234" s="45">
        <f>L234+M234</f>
        <v>3013500</v>
      </c>
      <c r="O234" s="10"/>
      <c r="P234" s="45">
        <f>N234+O234</f>
        <v>3013500</v>
      </c>
      <c r="R234" s="45">
        <v>0</v>
      </c>
      <c r="S234" s="117">
        <f t="shared" si="11"/>
        <v>0</v>
      </c>
    </row>
    <row r="235" spans="1:19" ht="15.75">
      <c r="A235" s="1" t="s">
        <v>150</v>
      </c>
      <c r="B235" s="10" t="s">
        <v>36</v>
      </c>
      <c r="C235" s="10" t="s">
        <v>26</v>
      </c>
      <c r="D235" s="10"/>
      <c r="E235" s="10"/>
      <c r="F235" s="45" t="e">
        <f>F239+#REF!</f>
        <v>#REF!</v>
      </c>
      <c r="G235" s="10"/>
      <c r="H235" s="45">
        <f>H236+H239</f>
        <v>637000</v>
      </c>
      <c r="I235" s="10"/>
      <c r="J235" s="45">
        <f>J236+J239</f>
        <v>637000</v>
      </c>
      <c r="K235" s="10"/>
      <c r="L235" s="45">
        <f>L236+L239</f>
        <v>537000</v>
      </c>
      <c r="M235" s="10"/>
      <c r="N235" s="45">
        <f>N236+N239</f>
        <v>537000</v>
      </c>
      <c r="O235" s="10"/>
      <c r="P235" s="45">
        <f>P236+P239</f>
        <v>537000</v>
      </c>
      <c r="R235" s="45">
        <f>R236+R239</f>
        <v>321475.34</v>
      </c>
      <c r="S235" s="117">
        <f t="shared" si="11"/>
        <v>59.8650540037244</v>
      </c>
    </row>
    <row r="236" spans="1:19" ht="31.5">
      <c r="A236" s="24" t="s">
        <v>552</v>
      </c>
      <c r="B236" s="10" t="s">
        <v>36</v>
      </c>
      <c r="C236" s="39" t="s">
        <v>553</v>
      </c>
      <c r="D236" s="10"/>
      <c r="E236" s="10"/>
      <c r="F236" s="77"/>
      <c r="G236" s="10"/>
      <c r="H236" s="45">
        <f>H237</f>
        <v>100000</v>
      </c>
      <c r="I236" s="10"/>
      <c r="J236" s="45">
        <f>J237</f>
        <v>100000</v>
      </c>
      <c r="K236" s="10"/>
      <c r="L236" s="45">
        <f>L237</f>
        <v>100000</v>
      </c>
      <c r="M236" s="10"/>
      <c r="N236" s="45">
        <f>N237</f>
        <v>100000</v>
      </c>
      <c r="O236" s="10"/>
      <c r="P236" s="45">
        <f>P237</f>
        <v>100000</v>
      </c>
      <c r="R236" s="45">
        <f>R237</f>
        <v>0</v>
      </c>
      <c r="S236" s="117">
        <f t="shared" si="11"/>
        <v>0</v>
      </c>
    </row>
    <row r="237" spans="1:19" ht="35.25" customHeight="1">
      <c r="A237" s="24" t="s">
        <v>561</v>
      </c>
      <c r="B237" s="10" t="s">
        <v>36</v>
      </c>
      <c r="C237" s="39" t="s">
        <v>553</v>
      </c>
      <c r="D237" s="10" t="s">
        <v>554</v>
      </c>
      <c r="E237" s="10"/>
      <c r="F237" s="77"/>
      <c r="G237" s="10"/>
      <c r="H237" s="45">
        <f>H238</f>
        <v>100000</v>
      </c>
      <c r="I237" s="10"/>
      <c r="J237" s="45">
        <f>J238</f>
        <v>100000</v>
      </c>
      <c r="K237" s="10"/>
      <c r="L237" s="45">
        <f>L238</f>
        <v>100000</v>
      </c>
      <c r="M237" s="10"/>
      <c r="N237" s="45">
        <f>N238</f>
        <v>100000</v>
      </c>
      <c r="O237" s="10"/>
      <c r="P237" s="45">
        <f>P238</f>
        <v>100000</v>
      </c>
      <c r="R237" s="45">
        <f>R238</f>
        <v>0</v>
      </c>
      <c r="S237" s="117">
        <f t="shared" si="11"/>
        <v>0</v>
      </c>
    </row>
    <row r="238" spans="1:19" ht="31.5">
      <c r="A238" s="18" t="s">
        <v>365</v>
      </c>
      <c r="B238" s="10" t="s">
        <v>36</v>
      </c>
      <c r="C238" s="39" t="s">
        <v>553</v>
      </c>
      <c r="D238" s="10" t="s">
        <v>554</v>
      </c>
      <c r="E238" s="10" t="s">
        <v>316</v>
      </c>
      <c r="F238" s="77"/>
      <c r="G238" s="10"/>
      <c r="H238" s="45">
        <v>100000</v>
      </c>
      <c r="I238" s="10"/>
      <c r="J238" s="45">
        <v>100000</v>
      </c>
      <c r="K238" s="10"/>
      <c r="L238" s="45">
        <v>100000</v>
      </c>
      <c r="M238" s="10"/>
      <c r="N238" s="45">
        <v>100000</v>
      </c>
      <c r="O238" s="10"/>
      <c r="P238" s="45">
        <v>100000</v>
      </c>
      <c r="R238" s="45">
        <v>0</v>
      </c>
      <c r="S238" s="117">
        <f t="shared" si="11"/>
        <v>0</v>
      </c>
    </row>
    <row r="239" spans="1:19" ht="31.5" customHeight="1">
      <c r="A239" s="1" t="s">
        <v>74</v>
      </c>
      <c r="B239" s="10" t="s">
        <v>36</v>
      </c>
      <c r="C239" s="10" t="s">
        <v>75</v>
      </c>
      <c r="D239" s="10"/>
      <c r="E239" s="10"/>
      <c r="F239" s="45" t="e">
        <f>F240+F242</f>
        <v>#REF!</v>
      </c>
      <c r="G239" s="10"/>
      <c r="H239" s="45">
        <f>H240+H242</f>
        <v>537000</v>
      </c>
      <c r="I239" s="10"/>
      <c r="J239" s="45">
        <f>J240+J242</f>
        <v>537000</v>
      </c>
      <c r="K239" s="10"/>
      <c r="L239" s="45">
        <f>L240+L242</f>
        <v>437000</v>
      </c>
      <c r="M239" s="10"/>
      <c r="N239" s="45">
        <f>N240+N242</f>
        <v>437000</v>
      </c>
      <c r="O239" s="10"/>
      <c r="P239" s="45">
        <f>P240+P242</f>
        <v>437000</v>
      </c>
      <c r="R239" s="45">
        <f>R240+R242</f>
        <v>321475.34</v>
      </c>
      <c r="S239" s="117">
        <f t="shared" si="11"/>
        <v>73.56415102974829</v>
      </c>
    </row>
    <row r="240" spans="1:19" ht="33.75" customHeight="1">
      <c r="A240" s="1" t="s">
        <v>561</v>
      </c>
      <c r="B240" s="10" t="s">
        <v>36</v>
      </c>
      <c r="C240" s="10" t="s">
        <v>75</v>
      </c>
      <c r="D240" s="10" t="s">
        <v>554</v>
      </c>
      <c r="E240" s="10"/>
      <c r="F240" s="45" t="e">
        <f>#REF!</f>
        <v>#REF!</v>
      </c>
      <c r="G240" s="10"/>
      <c r="H240" s="45">
        <f>H241</f>
        <v>537000</v>
      </c>
      <c r="I240" s="10"/>
      <c r="J240" s="45">
        <f>J241</f>
        <v>537000</v>
      </c>
      <c r="K240" s="10"/>
      <c r="L240" s="45">
        <f>L241</f>
        <v>437000</v>
      </c>
      <c r="M240" s="10"/>
      <c r="N240" s="45">
        <f>N241</f>
        <v>437000</v>
      </c>
      <c r="O240" s="10"/>
      <c r="P240" s="45">
        <f>P241</f>
        <v>437000</v>
      </c>
      <c r="R240" s="45">
        <f>R241</f>
        <v>321475.34</v>
      </c>
      <c r="S240" s="117">
        <f t="shared" si="11"/>
        <v>73.56415102974829</v>
      </c>
    </row>
    <row r="241" spans="1:19" ht="31.5" customHeight="1">
      <c r="A241" s="18" t="s">
        <v>365</v>
      </c>
      <c r="B241" s="10" t="s">
        <v>36</v>
      </c>
      <c r="C241" s="10" t="s">
        <v>75</v>
      </c>
      <c r="D241" s="10" t="s">
        <v>554</v>
      </c>
      <c r="E241" s="10" t="s">
        <v>316</v>
      </c>
      <c r="F241" s="45">
        <v>0</v>
      </c>
      <c r="G241" s="68"/>
      <c r="H241" s="45">
        <v>537000</v>
      </c>
      <c r="I241" s="68"/>
      <c r="J241" s="45">
        <v>537000</v>
      </c>
      <c r="K241" s="68">
        <v>-100000</v>
      </c>
      <c r="L241" s="45">
        <f>J241+K241</f>
        <v>437000</v>
      </c>
      <c r="M241" s="68"/>
      <c r="N241" s="45">
        <f>L241+M241</f>
        <v>437000</v>
      </c>
      <c r="O241" s="68"/>
      <c r="P241" s="45">
        <f>N241+O241</f>
        <v>437000</v>
      </c>
      <c r="R241" s="45">
        <v>321475.34</v>
      </c>
      <c r="S241" s="117">
        <f t="shared" si="11"/>
        <v>73.56415102974829</v>
      </c>
    </row>
    <row r="242" spans="1:19" ht="63.75" customHeight="1" hidden="1">
      <c r="A242" s="55" t="s">
        <v>291</v>
      </c>
      <c r="B242" s="54" t="s">
        <v>36</v>
      </c>
      <c r="C242" s="54" t="s">
        <v>75</v>
      </c>
      <c r="D242" s="54" t="s">
        <v>174</v>
      </c>
      <c r="E242" s="54" t="s">
        <v>72</v>
      </c>
      <c r="F242" s="50">
        <v>0</v>
      </c>
      <c r="G242" s="54"/>
      <c r="H242" s="50">
        <v>0</v>
      </c>
      <c r="I242" s="54"/>
      <c r="J242" s="50">
        <v>0</v>
      </c>
      <c r="K242" s="54"/>
      <c r="L242" s="50">
        <v>0</v>
      </c>
      <c r="M242" s="54"/>
      <c r="N242" s="50">
        <v>0</v>
      </c>
      <c r="O242" s="54"/>
      <c r="P242" s="50">
        <v>0</v>
      </c>
      <c r="R242" s="50">
        <v>0</v>
      </c>
      <c r="S242" s="117" t="e">
        <f t="shared" si="11"/>
        <v>#DIV/0!</v>
      </c>
    </row>
    <row r="243" spans="1:19" ht="17.25" customHeight="1">
      <c r="A243" s="1" t="s">
        <v>151</v>
      </c>
      <c r="B243" s="10" t="s">
        <v>36</v>
      </c>
      <c r="C243" s="10" t="s">
        <v>27</v>
      </c>
      <c r="D243" s="10"/>
      <c r="E243" s="10"/>
      <c r="F243" s="45" t="e">
        <f>F244</f>
        <v>#REF!</v>
      </c>
      <c r="G243" s="10"/>
      <c r="H243" s="45">
        <f>H244</f>
        <v>821000</v>
      </c>
      <c r="I243" s="10"/>
      <c r="J243" s="45">
        <f>J244</f>
        <v>854000</v>
      </c>
      <c r="K243" s="10"/>
      <c r="L243" s="45">
        <f>L244</f>
        <v>1045200</v>
      </c>
      <c r="M243" s="10"/>
      <c r="N243" s="45">
        <f>N244</f>
        <v>1245400</v>
      </c>
      <c r="O243" s="10"/>
      <c r="P243" s="45">
        <f>P244</f>
        <v>1345400</v>
      </c>
      <c r="R243" s="45">
        <f>R244</f>
        <v>525781.96</v>
      </c>
      <c r="S243" s="117">
        <f t="shared" si="11"/>
        <v>39.07997324215846</v>
      </c>
    </row>
    <row r="244" spans="1:19" ht="33" customHeight="1">
      <c r="A244" s="1" t="s">
        <v>156</v>
      </c>
      <c r="B244" s="10">
        <v>901</v>
      </c>
      <c r="C244" s="10" t="s">
        <v>29</v>
      </c>
      <c r="D244" s="10"/>
      <c r="E244" s="10"/>
      <c r="F244" s="46" t="e">
        <f>F245+F252</f>
        <v>#REF!</v>
      </c>
      <c r="G244" s="10"/>
      <c r="H244" s="46">
        <f>H245+H252</f>
        <v>821000</v>
      </c>
      <c r="I244" s="10"/>
      <c r="J244" s="46">
        <f>J245+J252</f>
        <v>854000</v>
      </c>
      <c r="K244" s="10"/>
      <c r="L244" s="46">
        <f>L245+L252</f>
        <v>1045200</v>
      </c>
      <c r="M244" s="10"/>
      <c r="N244" s="46">
        <f>N245+N252+N257</f>
        <v>1245400</v>
      </c>
      <c r="O244" s="10"/>
      <c r="P244" s="46">
        <f>P245+P252+P257</f>
        <v>1345400</v>
      </c>
      <c r="R244" s="46">
        <f>R245+R252+R257</f>
        <v>525781.96</v>
      </c>
      <c r="S244" s="117">
        <f t="shared" si="11"/>
        <v>39.07997324215846</v>
      </c>
    </row>
    <row r="245" spans="1:19" ht="31.5" customHeight="1">
      <c r="A245" s="1" t="s">
        <v>157</v>
      </c>
      <c r="B245" s="10">
        <v>901</v>
      </c>
      <c r="C245" s="10" t="s">
        <v>29</v>
      </c>
      <c r="D245" s="10">
        <v>4310000</v>
      </c>
      <c r="E245" s="10"/>
      <c r="F245" s="46">
        <f>F246</f>
        <v>0</v>
      </c>
      <c r="G245" s="10"/>
      <c r="H245" s="46">
        <f>H246</f>
        <v>821000</v>
      </c>
      <c r="I245" s="10"/>
      <c r="J245" s="46">
        <f>J246</f>
        <v>777000</v>
      </c>
      <c r="K245" s="10"/>
      <c r="L245" s="46">
        <f>L246</f>
        <v>745000</v>
      </c>
      <c r="M245" s="10"/>
      <c r="N245" s="46">
        <f>N246</f>
        <v>745000</v>
      </c>
      <c r="O245" s="10"/>
      <c r="P245" s="46">
        <f>P246</f>
        <v>841000</v>
      </c>
      <c r="R245" s="46">
        <f>R246</f>
        <v>362486.75</v>
      </c>
      <c r="S245" s="117">
        <f t="shared" si="11"/>
        <v>43.10187277051129</v>
      </c>
    </row>
    <row r="246" spans="1:19" ht="31.5" customHeight="1">
      <c r="A246" s="1" t="s">
        <v>108</v>
      </c>
      <c r="B246" s="10">
        <v>901</v>
      </c>
      <c r="C246" s="10" t="s">
        <v>29</v>
      </c>
      <c r="D246" s="10" t="s">
        <v>107</v>
      </c>
      <c r="E246" s="10"/>
      <c r="F246" s="46">
        <f>F247+F251+F248</f>
        <v>0</v>
      </c>
      <c r="G246" s="10" t="s">
        <v>434</v>
      </c>
      <c r="H246" s="46">
        <f>H247+H251+H248</f>
        <v>821000</v>
      </c>
      <c r="I246" s="10" t="s">
        <v>376</v>
      </c>
      <c r="J246" s="46">
        <f>J247+J251+J248</f>
        <v>777000</v>
      </c>
      <c r="K246" s="10"/>
      <c r="L246" s="46">
        <f>L247+L251+L248</f>
        <v>745000</v>
      </c>
      <c r="M246" s="10"/>
      <c r="N246" s="46">
        <f>N247+N251+N248+N249+N250</f>
        <v>745000</v>
      </c>
      <c r="O246" s="10"/>
      <c r="P246" s="46">
        <f>P247+P251+P248+P249+P250</f>
        <v>841000</v>
      </c>
      <c r="R246" s="46">
        <f>R247+R251+R248+R249+R250</f>
        <v>362486.75</v>
      </c>
      <c r="S246" s="117">
        <f t="shared" si="11"/>
        <v>43.10187277051129</v>
      </c>
    </row>
    <row r="247" spans="1:19" ht="15.75">
      <c r="A247" s="1" t="s">
        <v>318</v>
      </c>
      <c r="B247" s="10">
        <v>901</v>
      </c>
      <c r="C247" s="10" t="s">
        <v>29</v>
      </c>
      <c r="D247" s="10" t="s">
        <v>107</v>
      </c>
      <c r="E247" s="10" t="s">
        <v>313</v>
      </c>
      <c r="F247" s="46">
        <v>0</v>
      </c>
      <c r="G247" s="10" t="s">
        <v>506</v>
      </c>
      <c r="H247" s="46">
        <f>F247+G247</f>
        <v>606732</v>
      </c>
      <c r="I247" s="10" t="s">
        <v>376</v>
      </c>
      <c r="J247" s="46">
        <f>H247+I247</f>
        <v>606732</v>
      </c>
      <c r="K247" s="10"/>
      <c r="L247" s="46">
        <f>J247+K247</f>
        <v>606732</v>
      </c>
      <c r="M247" s="10"/>
      <c r="N247" s="46">
        <f>L247+M247</f>
        <v>606732</v>
      </c>
      <c r="O247" s="10"/>
      <c r="P247" s="46">
        <f>N247+O247</f>
        <v>606732</v>
      </c>
      <c r="R247" s="46">
        <v>258466.02</v>
      </c>
      <c r="S247" s="117">
        <f t="shared" si="11"/>
        <v>42.59970135084353</v>
      </c>
    </row>
    <row r="248" spans="1:19" ht="48.75" customHeight="1">
      <c r="A248" s="18" t="s">
        <v>320</v>
      </c>
      <c r="B248" s="10">
        <v>901</v>
      </c>
      <c r="C248" s="10" t="s">
        <v>29</v>
      </c>
      <c r="D248" s="10" t="s">
        <v>107</v>
      </c>
      <c r="E248" s="10" t="s">
        <v>315</v>
      </c>
      <c r="F248" s="46">
        <v>0</v>
      </c>
      <c r="G248" s="10" t="s">
        <v>376</v>
      </c>
      <c r="H248" s="46">
        <f>F248+G248</f>
        <v>0</v>
      </c>
      <c r="I248" s="10" t="s">
        <v>376</v>
      </c>
      <c r="J248" s="46">
        <f>H248+I248</f>
        <v>0</v>
      </c>
      <c r="K248" s="10"/>
      <c r="L248" s="46">
        <f>J248+K248</f>
        <v>0</v>
      </c>
      <c r="M248" s="10"/>
      <c r="N248" s="46">
        <f>L248+M248</f>
        <v>0</v>
      </c>
      <c r="O248" s="10"/>
      <c r="P248" s="46">
        <f>N248+O248</f>
        <v>0</v>
      </c>
      <c r="R248" s="46">
        <v>0</v>
      </c>
      <c r="S248" s="117">
        <v>0</v>
      </c>
    </row>
    <row r="249" spans="1:19" ht="31.5">
      <c r="A249" s="18" t="s">
        <v>365</v>
      </c>
      <c r="B249" s="10" t="s">
        <v>36</v>
      </c>
      <c r="C249" s="10" t="s">
        <v>29</v>
      </c>
      <c r="D249" s="10" t="s">
        <v>107</v>
      </c>
      <c r="E249" s="10" t="s">
        <v>316</v>
      </c>
      <c r="F249" s="46"/>
      <c r="G249" s="10"/>
      <c r="H249" s="46"/>
      <c r="I249" s="10"/>
      <c r="J249" s="46"/>
      <c r="K249" s="10"/>
      <c r="L249" s="46"/>
      <c r="M249" s="10" t="s">
        <v>692</v>
      </c>
      <c r="N249" s="46">
        <f>L249+M249</f>
        <v>800</v>
      </c>
      <c r="O249" s="10" t="s">
        <v>712</v>
      </c>
      <c r="P249" s="46">
        <f>N249+O249</f>
        <v>2300</v>
      </c>
      <c r="R249" s="46">
        <v>600</v>
      </c>
      <c r="S249" s="117">
        <f t="shared" si="11"/>
        <v>26.08695652173913</v>
      </c>
    </row>
    <row r="250" spans="1:19" ht="31.5">
      <c r="A250" s="18" t="s">
        <v>322</v>
      </c>
      <c r="B250" s="10" t="s">
        <v>36</v>
      </c>
      <c r="C250" s="10" t="s">
        <v>29</v>
      </c>
      <c r="D250" s="10" t="s">
        <v>107</v>
      </c>
      <c r="E250" s="10" t="s">
        <v>317</v>
      </c>
      <c r="F250" s="46"/>
      <c r="G250" s="10"/>
      <c r="H250" s="46"/>
      <c r="I250" s="10"/>
      <c r="J250" s="46"/>
      <c r="K250" s="10"/>
      <c r="L250" s="46"/>
      <c r="M250" s="10" t="s">
        <v>692</v>
      </c>
      <c r="N250" s="46">
        <f>L250+M250</f>
        <v>800</v>
      </c>
      <c r="O250" s="10"/>
      <c r="P250" s="46">
        <f>N250+O250</f>
        <v>800</v>
      </c>
      <c r="R250" s="46">
        <v>0</v>
      </c>
      <c r="S250" s="117">
        <f t="shared" si="11"/>
        <v>0</v>
      </c>
    </row>
    <row r="251" spans="1:19" ht="14.25" customHeight="1">
      <c r="A251" s="1" t="s">
        <v>327</v>
      </c>
      <c r="B251" s="10" t="s">
        <v>36</v>
      </c>
      <c r="C251" s="10" t="s">
        <v>29</v>
      </c>
      <c r="D251" s="10" t="s">
        <v>107</v>
      </c>
      <c r="E251" s="10" t="s">
        <v>326</v>
      </c>
      <c r="F251" s="46">
        <v>0</v>
      </c>
      <c r="G251" s="10" t="s">
        <v>507</v>
      </c>
      <c r="H251" s="46">
        <f>F251+G251</f>
        <v>214268</v>
      </c>
      <c r="I251" s="10" t="s">
        <v>570</v>
      </c>
      <c r="J251" s="46">
        <f>H251+I251</f>
        <v>170268</v>
      </c>
      <c r="K251" s="10" t="s">
        <v>621</v>
      </c>
      <c r="L251" s="46">
        <f>J251+K251</f>
        <v>138268</v>
      </c>
      <c r="M251" s="10" t="s">
        <v>691</v>
      </c>
      <c r="N251" s="46">
        <f>L251+M251</f>
        <v>136668</v>
      </c>
      <c r="O251" s="68">
        <f>-5500+100000</f>
        <v>94500</v>
      </c>
      <c r="P251" s="46">
        <f>N251+O251</f>
        <v>231168</v>
      </c>
      <c r="R251" s="46">
        <v>103420.73</v>
      </c>
      <c r="S251" s="117">
        <f t="shared" si="11"/>
        <v>44.738341812015506</v>
      </c>
    </row>
    <row r="252" spans="1:19" ht="18" customHeight="1">
      <c r="A252" s="18" t="s">
        <v>307</v>
      </c>
      <c r="B252" s="8" t="s">
        <v>36</v>
      </c>
      <c r="C252" s="29" t="s">
        <v>29</v>
      </c>
      <c r="D252" s="8" t="s">
        <v>78</v>
      </c>
      <c r="E252" s="8"/>
      <c r="F252" s="47" t="e">
        <f>F253+#REF!</f>
        <v>#REF!</v>
      </c>
      <c r="G252" s="8"/>
      <c r="H252" s="47">
        <f>H253</f>
        <v>0</v>
      </c>
      <c r="I252" s="8"/>
      <c r="J252" s="47">
        <f>J253</f>
        <v>77000</v>
      </c>
      <c r="K252" s="8"/>
      <c r="L252" s="47">
        <f>L253+L255</f>
        <v>300200</v>
      </c>
      <c r="M252" s="8"/>
      <c r="N252" s="47">
        <f>N253+N255</f>
        <v>300200</v>
      </c>
      <c r="O252" s="8"/>
      <c r="P252" s="47">
        <f>P253+P255</f>
        <v>304200</v>
      </c>
      <c r="Q252" t="s">
        <v>671</v>
      </c>
      <c r="R252" s="47">
        <f>R253+R255</f>
        <v>160200.14</v>
      </c>
      <c r="S252" s="117">
        <f t="shared" si="11"/>
        <v>52.662767915844846</v>
      </c>
    </row>
    <row r="253" spans="1:19" ht="66" customHeight="1">
      <c r="A253" s="7" t="s">
        <v>297</v>
      </c>
      <c r="B253" s="8" t="s">
        <v>36</v>
      </c>
      <c r="C253" s="8" t="s">
        <v>29</v>
      </c>
      <c r="D253" s="8" t="s">
        <v>262</v>
      </c>
      <c r="E253" s="8"/>
      <c r="F253" s="49">
        <f>F254</f>
        <v>0</v>
      </c>
      <c r="G253" s="8"/>
      <c r="H253" s="49">
        <f>H254</f>
        <v>0</v>
      </c>
      <c r="I253" s="8"/>
      <c r="J253" s="49">
        <f>J254</f>
        <v>77000</v>
      </c>
      <c r="K253" s="8"/>
      <c r="L253" s="49">
        <f>L254</f>
        <v>200200</v>
      </c>
      <c r="M253" s="8"/>
      <c r="N253" s="49">
        <f>N254</f>
        <v>200200</v>
      </c>
      <c r="O253" s="8"/>
      <c r="P253" s="49">
        <f>P254</f>
        <v>204200</v>
      </c>
      <c r="R253" s="49">
        <f>R254</f>
        <v>69865</v>
      </c>
      <c r="S253" s="117">
        <f t="shared" si="11"/>
        <v>34.21400587659157</v>
      </c>
    </row>
    <row r="254" spans="1:19" ht="33.75" customHeight="1">
      <c r="A254" s="3" t="s">
        <v>321</v>
      </c>
      <c r="B254" s="8" t="s">
        <v>36</v>
      </c>
      <c r="C254" s="8" t="s">
        <v>29</v>
      </c>
      <c r="D254" s="8" t="s">
        <v>262</v>
      </c>
      <c r="E254" s="8" t="s">
        <v>316</v>
      </c>
      <c r="F254" s="49">
        <v>0</v>
      </c>
      <c r="G254" s="8"/>
      <c r="H254" s="49">
        <f>F254+G254</f>
        <v>0</v>
      </c>
      <c r="I254" s="8" t="s">
        <v>508</v>
      </c>
      <c r="J254" s="49">
        <f>H254+I254</f>
        <v>77000</v>
      </c>
      <c r="K254" s="8" t="s">
        <v>622</v>
      </c>
      <c r="L254" s="49">
        <f>J254+K254</f>
        <v>200200</v>
      </c>
      <c r="M254" s="8" t="s">
        <v>376</v>
      </c>
      <c r="N254" s="49">
        <f>L254+M254</f>
        <v>200200</v>
      </c>
      <c r="O254" s="8" t="s">
        <v>713</v>
      </c>
      <c r="P254" s="49">
        <f>N254+O254</f>
        <v>204200</v>
      </c>
      <c r="R254" s="49">
        <v>69865</v>
      </c>
      <c r="S254" s="117">
        <f t="shared" si="11"/>
        <v>34.21400587659157</v>
      </c>
    </row>
    <row r="255" spans="1:19" ht="33.75" customHeight="1">
      <c r="A255" s="1" t="s">
        <v>561</v>
      </c>
      <c r="B255" s="8" t="s">
        <v>36</v>
      </c>
      <c r="C255" s="8" t="s">
        <v>29</v>
      </c>
      <c r="D255" s="8" t="s">
        <v>554</v>
      </c>
      <c r="E255" s="8"/>
      <c r="F255" s="49"/>
      <c r="G255" s="8"/>
      <c r="H255" s="49"/>
      <c r="I255" s="8"/>
      <c r="J255" s="49"/>
      <c r="K255" s="8"/>
      <c r="L255" s="49">
        <f>L256</f>
        <v>100000</v>
      </c>
      <c r="M255" s="8"/>
      <c r="N255" s="49">
        <f>N256</f>
        <v>100000</v>
      </c>
      <c r="O255" s="8"/>
      <c r="P255" s="49">
        <f>P256</f>
        <v>100000</v>
      </c>
      <c r="R255" s="49">
        <f>R256</f>
        <v>90335.14</v>
      </c>
      <c r="S255" s="117">
        <f t="shared" si="11"/>
        <v>90.33514</v>
      </c>
    </row>
    <row r="256" spans="1:19" ht="33.75" customHeight="1">
      <c r="A256" s="18" t="s">
        <v>365</v>
      </c>
      <c r="B256" s="8" t="s">
        <v>36</v>
      </c>
      <c r="C256" s="8" t="s">
        <v>29</v>
      </c>
      <c r="D256" s="8" t="s">
        <v>554</v>
      </c>
      <c r="E256" s="8" t="s">
        <v>316</v>
      </c>
      <c r="F256" s="49"/>
      <c r="G256" s="8"/>
      <c r="H256" s="49"/>
      <c r="I256" s="8"/>
      <c r="J256" s="49"/>
      <c r="K256" s="8" t="s">
        <v>519</v>
      </c>
      <c r="L256" s="49">
        <f>J256+K256</f>
        <v>100000</v>
      </c>
      <c r="M256" s="8" t="s">
        <v>376</v>
      </c>
      <c r="N256" s="49">
        <f>L256+M256</f>
        <v>100000</v>
      </c>
      <c r="O256" s="8"/>
      <c r="P256" s="49">
        <f>N256+O256</f>
        <v>100000</v>
      </c>
      <c r="R256" s="49">
        <v>90335.14</v>
      </c>
      <c r="S256" s="117">
        <f t="shared" si="11"/>
        <v>90.33514</v>
      </c>
    </row>
    <row r="257" spans="1:19" ht="33.75" customHeight="1">
      <c r="A257" s="1" t="s">
        <v>684</v>
      </c>
      <c r="B257" s="29" t="s">
        <v>36</v>
      </c>
      <c r="C257" s="29" t="s">
        <v>29</v>
      </c>
      <c r="D257" s="29" t="s">
        <v>685</v>
      </c>
      <c r="E257" s="29"/>
      <c r="F257" s="77"/>
      <c r="G257" s="77"/>
      <c r="H257" s="77"/>
      <c r="I257" s="77"/>
      <c r="J257" s="77"/>
      <c r="K257" s="100"/>
      <c r="L257" s="77"/>
      <c r="M257" s="100"/>
      <c r="N257" s="77">
        <f>N258</f>
        <v>200200</v>
      </c>
      <c r="O257" s="100"/>
      <c r="P257" s="77">
        <f>P258</f>
        <v>200200</v>
      </c>
      <c r="R257" s="77">
        <f>R258</f>
        <v>3095.07</v>
      </c>
      <c r="S257" s="117">
        <f t="shared" si="11"/>
        <v>1.545989010989011</v>
      </c>
    </row>
    <row r="258" spans="1:19" ht="114.75" customHeight="1">
      <c r="A258" s="1" t="s">
        <v>686</v>
      </c>
      <c r="B258" s="29" t="s">
        <v>36</v>
      </c>
      <c r="C258" s="29" t="s">
        <v>29</v>
      </c>
      <c r="D258" s="29" t="s">
        <v>687</v>
      </c>
      <c r="E258" s="29"/>
      <c r="F258" s="77"/>
      <c r="G258" s="77"/>
      <c r="H258" s="77"/>
      <c r="I258" s="77"/>
      <c r="J258" s="77"/>
      <c r="K258" s="100"/>
      <c r="L258" s="77"/>
      <c r="M258" s="100"/>
      <c r="N258" s="77">
        <f>N259</f>
        <v>200200</v>
      </c>
      <c r="O258" s="100"/>
      <c r="P258" s="77">
        <f>P259</f>
        <v>200200</v>
      </c>
      <c r="R258" s="77">
        <f>R259</f>
        <v>3095.07</v>
      </c>
      <c r="S258" s="117">
        <f t="shared" si="11"/>
        <v>1.545989010989011</v>
      </c>
    </row>
    <row r="259" spans="1:19" ht="33.75" customHeight="1">
      <c r="A259" s="1" t="s">
        <v>365</v>
      </c>
      <c r="B259" s="29" t="s">
        <v>36</v>
      </c>
      <c r="C259" s="29" t="s">
        <v>29</v>
      </c>
      <c r="D259" s="29" t="s">
        <v>687</v>
      </c>
      <c r="E259" s="29" t="s">
        <v>316</v>
      </c>
      <c r="F259" s="77"/>
      <c r="G259" s="77"/>
      <c r="H259" s="77"/>
      <c r="I259" s="77"/>
      <c r="J259" s="77"/>
      <c r="K259" s="100"/>
      <c r="L259" s="77"/>
      <c r="M259" s="100">
        <v>200200</v>
      </c>
      <c r="N259" s="77">
        <f>L259+M259</f>
        <v>200200</v>
      </c>
      <c r="O259" s="100"/>
      <c r="P259" s="77">
        <f>N259+O259</f>
        <v>200200</v>
      </c>
      <c r="R259" s="77">
        <v>3095.07</v>
      </c>
      <c r="S259" s="117">
        <f t="shared" si="11"/>
        <v>1.545989010989011</v>
      </c>
    </row>
    <row r="260" spans="1:19" ht="16.5" customHeight="1">
      <c r="A260" s="9" t="s">
        <v>165</v>
      </c>
      <c r="B260" s="8" t="s">
        <v>36</v>
      </c>
      <c r="C260" s="8" t="s">
        <v>77</v>
      </c>
      <c r="D260" s="8"/>
      <c r="E260" s="8"/>
      <c r="F260" s="49" t="e">
        <f>F261+F265+F302</f>
        <v>#REF!</v>
      </c>
      <c r="G260" s="8"/>
      <c r="H260" s="49" t="e">
        <f>H261+H265+H302</f>
        <v>#REF!</v>
      </c>
      <c r="I260" s="8"/>
      <c r="J260" s="49">
        <f>J261+J265+J302+J313</f>
        <v>85018900</v>
      </c>
      <c r="K260" s="8"/>
      <c r="L260" s="49">
        <f>L261+L265+L302+L313</f>
        <v>85823700</v>
      </c>
      <c r="M260" s="8"/>
      <c r="N260" s="49">
        <f>N261+N265+N302</f>
        <v>85920416.52</v>
      </c>
      <c r="O260" s="8"/>
      <c r="P260" s="49">
        <f>P261+P265+P302</f>
        <v>89310324.92</v>
      </c>
      <c r="R260" s="49">
        <f>R261+R265+R302</f>
        <v>36929934.81</v>
      </c>
      <c r="S260" s="117">
        <f t="shared" si="11"/>
        <v>41.350129274616464</v>
      </c>
    </row>
    <row r="261" spans="1:19" ht="17.25" customHeight="1">
      <c r="A261" s="9" t="s">
        <v>166</v>
      </c>
      <c r="B261" s="8" t="s">
        <v>36</v>
      </c>
      <c r="C261" s="8" t="s">
        <v>125</v>
      </c>
      <c r="D261" s="8"/>
      <c r="E261" s="8"/>
      <c r="F261" s="49">
        <f>F262</f>
        <v>0</v>
      </c>
      <c r="G261" s="8"/>
      <c r="H261" s="49">
        <f>H262</f>
        <v>4113000</v>
      </c>
      <c r="I261" s="8"/>
      <c r="J261" s="49">
        <f>J262</f>
        <v>4113000</v>
      </c>
      <c r="K261" s="8"/>
      <c r="L261" s="49">
        <f>L262</f>
        <v>4113000</v>
      </c>
      <c r="M261" s="8"/>
      <c r="N261" s="49">
        <f>N262</f>
        <v>4209716.52</v>
      </c>
      <c r="O261" s="8"/>
      <c r="P261" s="49">
        <f>P262</f>
        <v>4209716.52</v>
      </c>
      <c r="R261" s="49">
        <f>R262</f>
        <v>1800619.73</v>
      </c>
      <c r="S261" s="117">
        <f t="shared" si="11"/>
        <v>42.772944958298524</v>
      </c>
    </row>
    <row r="262" spans="1:19" ht="31.5" customHeight="1">
      <c r="A262" s="9" t="s">
        <v>126</v>
      </c>
      <c r="B262" s="8" t="s">
        <v>36</v>
      </c>
      <c r="C262" s="8" t="s">
        <v>125</v>
      </c>
      <c r="D262" s="8" t="s">
        <v>127</v>
      </c>
      <c r="E262" s="8"/>
      <c r="F262" s="49">
        <f>F263</f>
        <v>0</v>
      </c>
      <c r="G262" s="8"/>
      <c r="H262" s="49">
        <f>H263</f>
        <v>4113000</v>
      </c>
      <c r="I262" s="8"/>
      <c r="J262" s="49">
        <f>J263</f>
        <v>4113000</v>
      </c>
      <c r="K262" s="8"/>
      <c r="L262" s="49">
        <f>L263</f>
        <v>4113000</v>
      </c>
      <c r="M262" s="8"/>
      <c r="N262" s="49">
        <f>N263</f>
        <v>4209716.52</v>
      </c>
      <c r="O262" s="8"/>
      <c r="P262" s="49">
        <f>P263</f>
        <v>4209716.52</v>
      </c>
      <c r="R262" s="49">
        <f>R263</f>
        <v>1800619.73</v>
      </c>
      <c r="S262" s="117">
        <f t="shared" si="11"/>
        <v>42.772944958298524</v>
      </c>
    </row>
    <row r="263" spans="1:19" ht="50.25" customHeight="1">
      <c r="A263" s="9" t="s">
        <v>128</v>
      </c>
      <c r="B263" s="8" t="s">
        <v>36</v>
      </c>
      <c r="C263" s="8" t="s">
        <v>125</v>
      </c>
      <c r="D263" s="8" t="s">
        <v>129</v>
      </c>
      <c r="E263" s="8"/>
      <c r="F263" s="49">
        <f>F264</f>
        <v>0</v>
      </c>
      <c r="G263" s="8"/>
      <c r="H263" s="49">
        <f>H264</f>
        <v>4113000</v>
      </c>
      <c r="I263" s="8"/>
      <c r="J263" s="49">
        <f>J264</f>
        <v>4113000</v>
      </c>
      <c r="K263" s="8"/>
      <c r="L263" s="49">
        <f>L264</f>
        <v>4113000</v>
      </c>
      <c r="M263" s="8"/>
      <c r="N263" s="49">
        <f>N264</f>
        <v>4209716.52</v>
      </c>
      <c r="O263" s="8"/>
      <c r="P263" s="49">
        <f>P264</f>
        <v>4209716.52</v>
      </c>
      <c r="R263" s="49">
        <f>R264</f>
        <v>1800619.73</v>
      </c>
      <c r="S263" s="117">
        <f t="shared" si="11"/>
        <v>42.772944958298524</v>
      </c>
    </row>
    <row r="264" spans="1:19" ht="40.5" customHeight="1">
      <c r="A264" s="18" t="s">
        <v>346</v>
      </c>
      <c r="B264" s="8" t="s">
        <v>36</v>
      </c>
      <c r="C264" s="8" t="s">
        <v>125</v>
      </c>
      <c r="D264" s="8" t="s">
        <v>129</v>
      </c>
      <c r="E264" s="8" t="s">
        <v>345</v>
      </c>
      <c r="F264" s="49">
        <v>0</v>
      </c>
      <c r="G264" s="8" t="s">
        <v>510</v>
      </c>
      <c r="H264" s="49">
        <f>F264+G264</f>
        <v>4113000</v>
      </c>
      <c r="I264" s="8" t="s">
        <v>376</v>
      </c>
      <c r="J264" s="49">
        <f>H264+I264</f>
        <v>4113000</v>
      </c>
      <c r="K264" s="8"/>
      <c r="L264" s="49">
        <f>J264+K264</f>
        <v>4113000</v>
      </c>
      <c r="M264" s="8" t="s">
        <v>695</v>
      </c>
      <c r="N264" s="49">
        <f>L264+M264</f>
        <v>4209716.52</v>
      </c>
      <c r="O264" s="8"/>
      <c r="P264" s="49">
        <f>N264+O264</f>
        <v>4209716.52</v>
      </c>
      <c r="R264" s="49">
        <v>1800619.73</v>
      </c>
      <c r="S264" s="117">
        <f t="shared" si="11"/>
        <v>42.772944958298524</v>
      </c>
    </row>
    <row r="265" spans="1:19" ht="15.75">
      <c r="A265" s="3" t="s">
        <v>167</v>
      </c>
      <c r="B265" s="10" t="s">
        <v>36</v>
      </c>
      <c r="C265" s="10">
        <v>1003</v>
      </c>
      <c r="D265" s="10"/>
      <c r="E265" s="10"/>
      <c r="F265" s="45" t="e">
        <f>F275+F286+F288+F293+F280+#REF!+F291+F284+F266+F268</f>
        <v>#REF!</v>
      </c>
      <c r="G265" s="10"/>
      <c r="H265" s="45" t="e">
        <f>H275+H286+H288+H280+#REF!+H290+H284+H266+H268</f>
        <v>#REF!</v>
      </c>
      <c r="I265" s="10"/>
      <c r="J265" s="45">
        <f>J275+J286+J288+J280+J290+J284+J266+J268</f>
        <v>80655900</v>
      </c>
      <c r="K265" s="10"/>
      <c r="L265" s="45">
        <f>L275+L286+L288+L280+L290+L284+L266+L268+L295+L272</f>
        <v>76963067.2</v>
      </c>
      <c r="M265" s="10"/>
      <c r="N265" s="45">
        <f>N275+N286+N288+N280+N290+N284+N266+N268+N295+N272</f>
        <v>76963067.2</v>
      </c>
      <c r="O265" s="10"/>
      <c r="P265" s="45">
        <f>P275+P286+P288+P280+P290+P284+P266+P268+P295+P272+P270+P298+P300</f>
        <v>80352975.60000001</v>
      </c>
      <c r="R265" s="45">
        <f>R275+R286+R288+R280+R290+R284+R266+R268+R295+R272+R270+R298+R300</f>
        <v>33658002.09</v>
      </c>
      <c r="S265" s="117">
        <f t="shared" si="11"/>
        <v>41.88768597388446</v>
      </c>
    </row>
    <row r="266" spans="1:19" ht="41.25" customHeight="1" hidden="1">
      <c r="A266" s="32" t="s">
        <v>201</v>
      </c>
      <c r="B266" s="8" t="s">
        <v>36</v>
      </c>
      <c r="C266" s="8" t="s">
        <v>73</v>
      </c>
      <c r="D266" s="8" t="s">
        <v>203</v>
      </c>
      <c r="E266" s="8"/>
      <c r="F266" s="45">
        <f>F267</f>
        <v>0</v>
      </c>
      <c r="G266" s="8"/>
      <c r="H266" s="45">
        <f>H267</f>
        <v>0</v>
      </c>
      <c r="I266" s="8"/>
      <c r="J266" s="45">
        <f>J267</f>
        <v>0</v>
      </c>
      <c r="K266" s="8"/>
      <c r="L266" s="45">
        <f>L267</f>
        <v>0</v>
      </c>
      <c r="M266" s="8"/>
      <c r="N266" s="45">
        <f>N267</f>
        <v>0</v>
      </c>
      <c r="O266" s="8"/>
      <c r="P266" s="45">
        <f>P267</f>
        <v>0</v>
      </c>
      <c r="R266" s="45">
        <f>R267</f>
        <v>0</v>
      </c>
      <c r="S266" s="117" t="e">
        <f t="shared" si="11"/>
        <v>#DIV/0!</v>
      </c>
    </row>
    <row r="267" spans="1:19" ht="0.75" customHeight="1" hidden="1">
      <c r="A267" s="1" t="s">
        <v>349</v>
      </c>
      <c r="B267" s="8" t="s">
        <v>36</v>
      </c>
      <c r="C267" s="8" t="s">
        <v>73</v>
      </c>
      <c r="D267" s="8" t="s">
        <v>203</v>
      </c>
      <c r="E267" s="8" t="s">
        <v>336</v>
      </c>
      <c r="F267" s="45">
        <v>0</v>
      </c>
      <c r="G267" s="8" t="s">
        <v>376</v>
      </c>
      <c r="H267" s="45">
        <f>F267+G267</f>
        <v>0</v>
      </c>
      <c r="I267" s="8" t="s">
        <v>376</v>
      </c>
      <c r="J267" s="45">
        <f>H267+I267</f>
        <v>0</v>
      </c>
      <c r="K267" s="8"/>
      <c r="L267" s="45">
        <f>J267+K267</f>
        <v>0</v>
      </c>
      <c r="M267" s="8"/>
      <c r="N267" s="45">
        <f>L267+M267</f>
        <v>0</v>
      </c>
      <c r="O267" s="8"/>
      <c r="P267" s="45">
        <f>N267+O267</f>
        <v>0</v>
      </c>
      <c r="R267" s="45">
        <f>P267+Q267</f>
        <v>0</v>
      </c>
      <c r="S267" s="117" t="e">
        <f t="shared" si="11"/>
        <v>#DIV/0!</v>
      </c>
    </row>
    <row r="268" spans="1:19" ht="18" customHeight="1" hidden="1">
      <c r="A268" s="25" t="s">
        <v>201</v>
      </c>
      <c r="B268" s="29" t="s">
        <v>36</v>
      </c>
      <c r="C268" s="29" t="s">
        <v>73</v>
      </c>
      <c r="D268" s="29" t="s">
        <v>214</v>
      </c>
      <c r="E268" s="29"/>
      <c r="F268" s="45">
        <f>F269</f>
        <v>0</v>
      </c>
      <c r="G268" s="29"/>
      <c r="H268" s="45">
        <f>H269</f>
        <v>0</v>
      </c>
      <c r="I268" s="29"/>
      <c r="J268" s="45">
        <f>J269</f>
        <v>0</v>
      </c>
      <c r="K268" s="29"/>
      <c r="L268" s="45">
        <f>L269</f>
        <v>0</v>
      </c>
      <c r="M268" s="29"/>
      <c r="N268" s="45">
        <f>N269</f>
        <v>0</v>
      </c>
      <c r="O268" s="29"/>
      <c r="P268" s="45">
        <f>P269</f>
        <v>0</v>
      </c>
      <c r="R268" s="45">
        <f>R269</f>
        <v>0</v>
      </c>
      <c r="S268" s="117" t="e">
        <f t="shared" si="11"/>
        <v>#DIV/0!</v>
      </c>
    </row>
    <row r="269" spans="1:19" ht="26.25" customHeight="1" hidden="1">
      <c r="A269" s="3" t="s">
        <v>349</v>
      </c>
      <c r="B269" s="29" t="s">
        <v>36</v>
      </c>
      <c r="C269" s="29" t="s">
        <v>73</v>
      </c>
      <c r="D269" s="29" t="s">
        <v>214</v>
      </c>
      <c r="E269" s="29" t="s">
        <v>336</v>
      </c>
      <c r="F269" s="45">
        <v>0</v>
      </c>
      <c r="G269" s="29" t="s">
        <v>376</v>
      </c>
      <c r="H269" s="45">
        <f>F269+G269</f>
        <v>0</v>
      </c>
      <c r="I269" s="29" t="s">
        <v>376</v>
      </c>
      <c r="J269" s="45">
        <f>H269+I269</f>
        <v>0</v>
      </c>
      <c r="K269" s="29"/>
      <c r="L269" s="45">
        <f>J269+K269</f>
        <v>0</v>
      </c>
      <c r="M269" s="29"/>
      <c r="N269" s="45">
        <f>L269+M269</f>
        <v>0</v>
      </c>
      <c r="O269" s="29"/>
      <c r="P269" s="45">
        <f>N269+O269</f>
        <v>0</v>
      </c>
      <c r="R269" s="45">
        <f>P269+Q269</f>
        <v>0</v>
      </c>
      <c r="S269" s="117" t="e">
        <f aca="true" t="shared" si="12" ref="S269:S332">R269/P269*100</f>
        <v>#DIV/0!</v>
      </c>
    </row>
    <row r="270" spans="1:19" ht="47.25">
      <c r="A270" s="67" t="s">
        <v>725</v>
      </c>
      <c r="B270" s="8" t="s">
        <v>36</v>
      </c>
      <c r="C270" s="8" t="s">
        <v>73</v>
      </c>
      <c r="D270" s="8" t="s">
        <v>720</v>
      </c>
      <c r="E270" s="8"/>
      <c r="F270" s="45"/>
      <c r="G270" s="29"/>
      <c r="H270" s="45"/>
      <c r="I270" s="29"/>
      <c r="J270" s="45"/>
      <c r="K270" s="29"/>
      <c r="L270" s="45"/>
      <c r="M270" s="29"/>
      <c r="N270" s="45"/>
      <c r="O270" s="29"/>
      <c r="P270" s="45">
        <f>P271</f>
        <v>1167700</v>
      </c>
      <c r="R270" s="45">
        <f>R271</f>
        <v>300000</v>
      </c>
      <c r="S270" s="117">
        <f t="shared" si="12"/>
        <v>25.691530358825045</v>
      </c>
    </row>
    <row r="271" spans="1:19" ht="54" customHeight="1">
      <c r="A271" s="1" t="s">
        <v>349</v>
      </c>
      <c r="B271" s="8" t="s">
        <v>36</v>
      </c>
      <c r="C271" s="8" t="s">
        <v>73</v>
      </c>
      <c r="D271" s="8" t="s">
        <v>720</v>
      </c>
      <c r="E271" s="8" t="s">
        <v>336</v>
      </c>
      <c r="F271" s="45"/>
      <c r="G271" s="29"/>
      <c r="H271" s="45"/>
      <c r="I271" s="29"/>
      <c r="J271" s="45"/>
      <c r="K271" s="29"/>
      <c r="L271" s="45"/>
      <c r="M271" s="29"/>
      <c r="N271" s="45"/>
      <c r="O271" s="29" t="s">
        <v>721</v>
      </c>
      <c r="P271" s="49">
        <f>N271+O271</f>
        <v>1167700</v>
      </c>
      <c r="R271" s="49">
        <v>300000</v>
      </c>
      <c r="S271" s="117">
        <f t="shared" si="12"/>
        <v>25.691530358825045</v>
      </c>
    </row>
    <row r="272" spans="1:19" ht="15.75">
      <c r="A272" s="32" t="s">
        <v>209</v>
      </c>
      <c r="B272" s="8" t="s">
        <v>36</v>
      </c>
      <c r="C272" s="29" t="s">
        <v>73</v>
      </c>
      <c r="D272" s="8" t="s">
        <v>210</v>
      </c>
      <c r="E272" s="8"/>
      <c r="F272" s="45"/>
      <c r="G272" s="29"/>
      <c r="H272" s="45"/>
      <c r="I272" s="29"/>
      <c r="J272" s="45"/>
      <c r="K272" s="29"/>
      <c r="L272" s="45">
        <f>L273</f>
        <v>200000</v>
      </c>
      <c r="M272" s="29"/>
      <c r="N272" s="45">
        <f>N273</f>
        <v>200000</v>
      </c>
      <c r="O272" s="29"/>
      <c r="P272" s="45">
        <f>P273</f>
        <v>200000</v>
      </c>
      <c r="R272" s="45">
        <f>R273</f>
        <v>45411</v>
      </c>
      <c r="S272" s="117">
        <f t="shared" si="12"/>
        <v>22.7055</v>
      </c>
    </row>
    <row r="273" spans="1:19" ht="33" customHeight="1">
      <c r="A273" s="32" t="s">
        <v>653</v>
      </c>
      <c r="B273" s="8" t="s">
        <v>36</v>
      </c>
      <c r="C273" s="29" t="s">
        <v>73</v>
      </c>
      <c r="D273" s="8" t="s">
        <v>304</v>
      </c>
      <c r="E273" s="8"/>
      <c r="F273" s="45"/>
      <c r="G273" s="29"/>
      <c r="H273" s="45"/>
      <c r="I273" s="29"/>
      <c r="J273" s="45"/>
      <c r="K273" s="29"/>
      <c r="L273" s="45">
        <f>L274</f>
        <v>200000</v>
      </c>
      <c r="M273" s="29"/>
      <c r="N273" s="45">
        <f>N274</f>
        <v>200000</v>
      </c>
      <c r="O273" s="29"/>
      <c r="P273" s="45">
        <f>P274</f>
        <v>200000</v>
      </c>
      <c r="R273" s="45">
        <f>R274</f>
        <v>45411</v>
      </c>
      <c r="S273" s="117">
        <f t="shared" si="12"/>
        <v>22.7055</v>
      </c>
    </row>
    <row r="274" spans="1:19" ht="34.5" customHeight="1">
      <c r="A274" s="32" t="s">
        <v>654</v>
      </c>
      <c r="B274" s="8" t="s">
        <v>36</v>
      </c>
      <c r="C274" s="29" t="s">
        <v>73</v>
      </c>
      <c r="D274" s="8" t="s">
        <v>304</v>
      </c>
      <c r="E274" s="8" t="s">
        <v>655</v>
      </c>
      <c r="F274" s="45"/>
      <c r="G274" s="29"/>
      <c r="H274" s="45"/>
      <c r="I274" s="29"/>
      <c r="J274" s="45"/>
      <c r="K274" s="29" t="s">
        <v>505</v>
      </c>
      <c r="L274" s="49">
        <f>J274+K274</f>
        <v>200000</v>
      </c>
      <c r="M274" s="29" t="s">
        <v>376</v>
      </c>
      <c r="N274" s="49">
        <f>L274+M274</f>
        <v>200000</v>
      </c>
      <c r="O274" s="29"/>
      <c r="P274" s="49">
        <f>N274+O274</f>
        <v>200000</v>
      </c>
      <c r="R274" s="49">
        <v>45411</v>
      </c>
      <c r="S274" s="117">
        <f t="shared" si="12"/>
        <v>22.7055</v>
      </c>
    </row>
    <row r="275" spans="1:19" ht="16.5" customHeight="1">
      <c r="A275" s="3" t="s">
        <v>204</v>
      </c>
      <c r="B275" s="10" t="s">
        <v>36</v>
      </c>
      <c r="C275" s="10">
        <v>1003</v>
      </c>
      <c r="D275" s="10">
        <v>5050000</v>
      </c>
      <c r="E275" s="10"/>
      <c r="F275" s="45">
        <f>F276+F278</f>
        <v>0</v>
      </c>
      <c r="G275" s="10"/>
      <c r="H275" s="45">
        <f>H276+H278</f>
        <v>15685000</v>
      </c>
      <c r="I275" s="10"/>
      <c r="J275" s="45">
        <f>J276+J278</f>
        <v>15685000</v>
      </c>
      <c r="K275" s="10"/>
      <c r="L275" s="45">
        <f>L276+L278</f>
        <v>15373870.2</v>
      </c>
      <c r="M275" s="10"/>
      <c r="N275" s="45">
        <f>N276+N278</f>
        <v>15373870.2</v>
      </c>
      <c r="O275" s="10"/>
      <c r="P275" s="45">
        <f>P276+P278</f>
        <v>15373870.2</v>
      </c>
      <c r="R275" s="45">
        <f>R276+R278</f>
        <v>6020458.92</v>
      </c>
      <c r="S275" s="117">
        <f t="shared" si="12"/>
        <v>39.16033400620229</v>
      </c>
    </row>
    <row r="276" spans="1:19" ht="36.75" customHeight="1">
      <c r="A276" s="3" t="s">
        <v>207</v>
      </c>
      <c r="B276" s="10" t="s">
        <v>36</v>
      </c>
      <c r="C276" s="10" t="s">
        <v>73</v>
      </c>
      <c r="D276" s="10" t="s">
        <v>206</v>
      </c>
      <c r="E276" s="10"/>
      <c r="F276" s="45">
        <f>F277</f>
        <v>0</v>
      </c>
      <c r="G276" s="10"/>
      <c r="H276" s="45">
        <f>H277</f>
        <v>11416000</v>
      </c>
      <c r="I276" s="10"/>
      <c r="J276" s="45">
        <f>J277</f>
        <v>11416000</v>
      </c>
      <c r="K276" s="10"/>
      <c r="L276" s="45">
        <f>L277</f>
        <v>11416000</v>
      </c>
      <c r="M276" s="10"/>
      <c r="N276" s="45">
        <f>N277</f>
        <v>11416000</v>
      </c>
      <c r="O276" s="10"/>
      <c r="P276" s="45">
        <f>P277</f>
        <v>11416000</v>
      </c>
      <c r="R276" s="45">
        <f>R277</f>
        <v>3797142.61</v>
      </c>
      <c r="S276" s="117">
        <f t="shared" si="12"/>
        <v>33.2615855816398</v>
      </c>
    </row>
    <row r="277" spans="1:19" ht="47.25">
      <c r="A277" s="1" t="s">
        <v>349</v>
      </c>
      <c r="B277" s="10" t="s">
        <v>36</v>
      </c>
      <c r="C277" s="10" t="s">
        <v>73</v>
      </c>
      <c r="D277" s="10" t="s">
        <v>206</v>
      </c>
      <c r="E277" s="10" t="s">
        <v>336</v>
      </c>
      <c r="F277" s="45">
        <v>0</v>
      </c>
      <c r="G277" s="10" t="s">
        <v>543</v>
      </c>
      <c r="H277" s="45">
        <f>F277+G277</f>
        <v>11416000</v>
      </c>
      <c r="I277" s="10" t="s">
        <v>376</v>
      </c>
      <c r="J277" s="45">
        <f>H277+I277</f>
        <v>11416000</v>
      </c>
      <c r="K277" s="10"/>
      <c r="L277" s="45">
        <f>J277+K277</f>
        <v>11416000</v>
      </c>
      <c r="M277" s="10"/>
      <c r="N277" s="45">
        <f>L277+M277</f>
        <v>11416000</v>
      </c>
      <c r="O277" s="10"/>
      <c r="P277" s="45">
        <f>N277+O277</f>
        <v>11416000</v>
      </c>
      <c r="R277" s="45">
        <v>3797142.61</v>
      </c>
      <c r="S277" s="117">
        <f t="shared" si="12"/>
        <v>33.2615855816398</v>
      </c>
    </row>
    <row r="278" spans="1:19" ht="49.5" customHeight="1">
      <c r="A278" s="3" t="s">
        <v>276</v>
      </c>
      <c r="B278" s="10" t="s">
        <v>36</v>
      </c>
      <c r="C278" s="10">
        <v>1003</v>
      </c>
      <c r="D278" s="10" t="s">
        <v>363</v>
      </c>
      <c r="E278" s="10"/>
      <c r="F278" s="45">
        <f>F279</f>
        <v>0</v>
      </c>
      <c r="G278" s="10"/>
      <c r="H278" s="45">
        <f>H279</f>
        <v>4269000</v>
      </c>
      <c r="I278" s="10"/>
      <c r="J278" s="45">
        <f>J279</f>
        <v>4269000</v>
      </c>
      <c r="K278" s="10"/>
      <c r="L278" s="45">
        <f>L279</f>
        <v>3957870.2</v>
      </c>
      <c r="M278" s="10"/>
      <c r="N278" s="45">
        <f>N279</f>
        <v>3957870.2</v>
      </c>
      <c r="O278" s="10"/>
      <c r="P278" s="45">
        <f>P279</f>
        <v>3957870.2</v>
      </c>
      <c r="R278" s="45">
        <f>R279</f>
        <v>2223316.31</v>
      </c>
      <c r="S278" s="117">
        <f t="shared" si="12"/>
        <v>56.17456353166913</v>
      </c>
    </row>
    <row r="279" spans="1:19" ht="36" customHeight="1">
      <c r="A279" s="9" t="s">
        <v>357</v>
      </c>
      <c r="B279" s="10" t="s">
        <v>36</v>
      </c>
      <c r="C279" s="10" t="s">
        <v>73</v>
      </c>
      <c r="D279" s="10" t="s">
        <v>363</v>
      </c>
      <c r="E279" s="10" t="s">
        <v>356</v>
      </c>
      <c r="F279" s="45">
        <v>0</v>
      </c>
      <c r="G279" s="10" t="s">
        <v>439</v>
      </c>
      <c r="H279" s="45">
        <f>F279+G279</f>
        <v>4269000</v>
      </c>
      <c r="I279" s="10" t="s">
        <v>376</v>
      </c>
      <c r="J279" s="45">
        <f>H279+I279</f>
        <v>4269000</v>
      </c>
      <c r="K279" s="68">
        <f>-330820.7+19690.9</f>
        <v>-311129.8</v>
      </c>
      <c r="L279" s="45">
        <f>J279+K279</f>
        <v>3957870.2</v>
      </c>
      <c r="M279" s="68">
        <v>0</v>
      </c>
      <c r="N279" s="45">
        <f>L279+M279</f>
        <v>3957870.2</v>
      </c>
      <c r="O279" s="68"/>
      <c r="P279" s="45">
        <f>N279+O279</f>
        <v>3957870.2</v>
      </c>
      <c r="R279" s="45">
        <v>2223316.31</v>
      </c>
      <c r="S279" s="117">
        <f t="shared" si="12"/>
        <v>56.17456353166913</v>
      </c>
    </row>
    <row r="280" spans="1:19" ht="0.75" customHeight="1" hidden="1">
      <c r="A280" s="35" t="s">
        <v>0</v>
      </c>
      <c r="B280" s="29" t="s">
        <v>36</v>
      </c>
      <c r="C280" s="29" t="s">
        <v>73</v>
      </c>
      <c r="D280" s="29" t="s">
        <v>197</v>
      </c>
      <c r="E280" s="29"/>
      <c r="F280" s="47">
        <f>F281</f>
        <v>0</v>
      </c>
      <c r="G280" s="29"/>
      <c r="H280" s="47">
        <f>H281</f>
        <v>0</v>
      </c>
      <c r="I280" s="29"/>
      <c r="J280" s="47">
        <f>J281</f>
        <v>0</v>
      </c>
      <c r="K280" s="29"/>
      <c r="L280" s="47">
        <f>L281</f>
        <v>0</v>
      </c>
      <c r="M280" s="29"/>
      <c r="N280" s="47">
        <f>N281</f>
        <v>0</v>
      </c>
      <c r="O280" s="29"/>
      <c r="P280" s="47">
        <f>P281</f>
        <v>0</v>
      </c>
      <c r="R280" s="47">
        <f>R281</f>
        <v>0</v>
      </c>
      <c r="S280" s="117" t="e">
        <f t="shared" si="12"/>
        <v>#DIV/0!</v>
      </c>
    </row>
    <row r="281" spans="1:19" ht="20.25" customHeight="1" hidden="1">
      <c r="A281" s="35" t="s">
        <v>327</v>
      </c>
      <c r="B281" s="29" t="s">
        <v>36</v>
      </c>
      <c r="C281" s="29" t="s">
        <v>73</v>
      </c>
      <c r="D281" s="29" t="s">
        <v>213</v>
      </c>
      <c r="E281" s="29" t="s">
        <v>326</v>
      </c>
      <c r="F281" s="45">
        <v>0</v>
      </c>
      <c r="G281" s="29" t="s">
        <v>376</v>
      </c>
      <c r="H281" s="45">
        <f>F281+G281</f>
        <v>0</v>
      </c>
      <c r="I281" s="29" t="s">
        <v>376</v>
      </c>
      <c r="J281" s="45">
        <f>H281+I281</f>
        <v>0</v>
      </c>
      <c r="K281" s="29"/>
      <c r="L281" s="45">
        <f>J281+K281</f>
        <v>0</v>
      </c>
      <c r="M281" s="29"/>
      <c r="N281" s="45">
        <f>L281+M281</f>
        <v>0</v>
      </c>
      <c r="O281" s="29"/>
      <c r="P281" s="45">
        <f>N281+O281</f>
        <v>0</v>
      </c>
      <c r="R281" s="45">
        <f>P281+Q281</f>
        <v>0</v>
      </c>
      <c r="S281" s="117" t="e">
        <f t="shared" si="12"/>
        <v>#DIV/0!</v>
      </c>
    </row>
    <row r="282" spans="1:19" ht="20.25" customHeight="1" hidden="1">
      <c r="A282" s="18" t="s">
        <v>202</v>
      </c>
      <c r="B282" s="8" t="s">
        <v>36</v>
      </c>
      <c r="C282" s="8" t="s">
        <v>73</v>
      </c>
      <c r="D282" s="8" t="s">
        <v>61</v>
      </c>
      <c r="E282" s="8"/>
      <c r="F282" s="49"/>
      <c r="G282" s="8"/>
      <c r="H282" s="49"/>
      <c r="I282" s="8"/>
      <c r="J282" s="49"/>
      <c r="K282" s="8"/>
      <c r="L282" s="49"/>
      <c r="M282" s="8"/>
      <c r="N282" s="49"/>
      <c r="O282" s="8"/>
      <c r="P282" s="49"/>
      <c r="R282" s="49"/>
      <c r="S282" s="117" t="e">
        <f t="shared" si="12"/>
        <v>#DIV/0!</v>
      </c>
    </row>
    <row r="283" spans="1:19" ht="29.25" customHeight="1" hidden="1">
      <c r="A283" s="3" t="s">
        <v>200</v>
      </c>
      <c r="B283" s="8" t="s">
        <v>36</v>
      </c>
      <c r="C283" s="8" t="s">
        <v>73</v>
      </c>
      <c r="D283" s="8" t="s">
        <v>61</v>
      </c>
      <c r="E283" s="8" t="s">
        <v>199</v>
      </c>
      <c r="F283" s="49"/>
      <c r="G283" s="8"/>
      <c r="H283" s="49"/>
      <c r="I283" s="8"/>
      <c r="J283" s="49"/>
      <c r="K283" s="8"/>
      <c r="L283" s="49"/>
      <c r="M283" s="8"/>
      <c r="N283" s="49"/>
      <c r="O283" s="8"/>
      <c r="P283" s="49"/>
      <c r="R283" s="49"/>
      <c r="S283" s="117" t="e">
        <f t="shared" si="12"/>
        <v>#DIV/0!</v>
      </c>
    </row>
    <row r="284" spans="1:19" ht="75" customHeight="1" hidden="1">
      <c r="A284" s="3" t="s">
        <v>178</v>
      </c>
      <c r="B284" s="8" t="s">
        <v>36</v>
      </c>
      <c r="C284" s="8" t="s">
        <v>73</v>
      </c>
      <c r="D284" s="8" t="s">
        <v>289</v>
      </c>
      <c r="E284" s="8"/>
      <c r="F284" s="45">
        <f>F285</f>
        <v>0</v>
      </c>
      <c r="G284" s="8"/>
      <c r="H284" s="45">
        <f>H285</f>
        <v>0</v>
      </c>
      <c r="I284" s="8"/>
      <c r="J284" s="45">
        <f>J285</f>
        <v>0</v>
      </c>
      <c r="K284" s="8"/>
      <c r="L284" s="45">
        <f>L285</f>
        <v>0</v>
      </c>
      <c r="M284" s="8"/>
      <c r="N284" s="45">
        <f>N285</f>
        <v>0</v>
      </c>
      <c r="O284" s="8"/>
      <c r="P284" s="45">
        <f>P285</f>
        <v>0</v>
      </c>
      <c r="R284" s="45">
        <f>R285</f>
        <v>0</v>
      </c>
      <c r="S284" s="117" t="e">
        <f t="shared" si="12"/>
        <v>#DIV/0!</v>
      </c>
    </row>
    <row r="285" spans="1:19" ht="52.5" customHeight="1" hidden="1">
      <c r="A285" s="3" t="s">
        <v>349</v>
      </c>
      <c r="B285" s="8" t="s">
        <v>36</v>
      </c>
      <c r="C285" s="8" t="s">
        <v>73</v>
      </c>
      <c r="D285" s="8" t="s">
        <v>289</v>
      </c>
      <c r="E285" s="8" t="s">
        <v>336</v>
      </c>
      <c r="F285" s="45">
        <v>0</v>
      </c>
      <c r="G285" s="8" t="s">
        <v>376</v>
      </c>
      <c r="H285" s="45">
        <f>F285+G285</f>
        <v>0</v>
      </c>
      <c r="I285" s="8" t="s">
        <v>376</v>
      </c>
      <c r="J285" s="45">
        <f>H285+I285</f>
        <v>0</v>
      </c>
      <c r="K285" s="8"/>
      <c r="L285" s="45">
        <f>J285+K285</f>
        <v>0</v>
      </c>
      <c r="M285" s="8"/>
      <c r="N285" s="45">
        <f>L285+M285</f>
        <v>0</v>
      </c>
      <c r="O285" s="8"/>
      <c r="P285" s="45">
        <f>N285+O285</f>
        <v>0</v>
      </c>
      <c r="R285" s="45">
        <f>P285+Q285</f>
        <v>0</v>
      </c>
      <c r="S285" s="117" t="e">
        <f t="shared" si="12"/>
        <v>#DIV/0!</v>
      </c>
    </row>
    <row r="286" spans="1:19" ht="48.75" customHeight="1" hidden="1">
      <c r="A286" s="18" t="s">
        <v>179</v>
      </c>
      <c r="B286" s="10" t="s">
        <v>36</v>
      </c>
      <c r="C286" s="10" t="s">
        <v>73</v>
      </c>
      <c r="D286" s="10" t="s">
        <v>290</v>
      </c>
      <c r="E286" s="21"/>
      <c r="F286" s="47">
        <f>F287</f>
        <v>0</v>
      </c>
      <c r="G286" s="21"/>
      <c r="H286" s="47">
        <f>H287</f>
        <v>0</v>
      </c>
      <c r="I286" s="21"/>
      <c r="J286" s="47">
        <f>J287</f>
        <v>0</v>
      </c>
      <c r="K286" s="21"/>
      <c r="L286" s="47">
        <f>L287</f>
        <v>0</v>
      </c>
      <c r="M286" s="21"/>
      <c r="N286" s="47">
        <f>N287</f>
        <v>0</v>
      </c>
      <c r="O286" s="21"/>
      <c r="P286" s="47">
        <f>P287</f>
        <v>0</v>
      </c>
      <c r="R286" s="47">
        <f>R287</f>
        <v>0</v>
      </c>
      <c r="S286" s="117" t="e">
        <f t="shared" si="12"/>
        <v>#DIV/0!</v>
      </c>
    </row>
    <row r="287" spans="1:19" ht="51" customHeight="1" hidden="1">
      <c r="A287" s="3" t="s">
        <v>349</v>
      </c>
      <c r="B287" s="10" t="s">
        <v>36</v>
      </c>
      <c r="C287" s="10" t="s">
        <v>73</v>
      </c>
      <c r="D287" s="10" t="s">
        <v>290</v>
      </c>
      <c r="E287" s="33" t="s">
        <v>336</v>
      </c>
      <c r="F287" s="47">
        <v>0</v>
      </c>
      <c r="G287" s="69" t="s">
        <v>376</v>
      </c>
      <c r="H287" s="47">
        <f>F287+G287</f>
        <v>0</v>
      </c>
      <c r="I287" s="69" t="s">
        <v>376</v>
      </c>
      <c r="J287" s="47">
        <f>H287+I287</f>
        <v>0</v>
      </c>
      <c r="K287" s="69"/>
      <c r="L287" s="47">
        <f>J287+K287</f>
        <v>0</v>
      </c>
      <c r="M287" s="69"/>
      <c r="N287" s="47">
        <f>L287+M287</f>
        <v>0</v>
      </c>
      <c r="O287" s="69"/>
      <c r="P287" s="47">
        <f>N287+O287</f>
        <v>0</v>
      </c>
      <c r="R287" s="47">
        <f>P287+Q287</f>
        <v>0</v>
      </c>
      <c r="S287" s="117" t="e">
        <f t="shared" si="12"/>
        <v>#DIV/0!</v>
      </c>
    </row>
    <row r="288" spans="1:19" ht="80.25" customHeight="1">
      <c r="A288" s="7" t="s">
        <v>208</v>
      </c>
      <c r="B288" s="8" t="s">
        <v>36</v>
      </c>
      <c r="C288" s="8" t="s">
        <v>73</v>
      </c>
      <c r="D288" s="8" t="s">
        <v>364</v>
      </c>
      <c r="E288" s="8"/>
      <c r="F288" s="49">
        <f>F289</f>
        <v>0</v>
      </c>
      <c r="G288" s="8"/>
      <c r="H288" s="49">
        <f>H289</f>
        <v>64279000</v>
      </c>
      <c r="I288" s="8"/>
      <c r="J288" s="49">
        <f>J289</f>
        <v>64279000</v>
      </c>
      <c r="K288" s="8"/>
      <c r="L288" s="49">
        <f>L289</f>
        <v>60092497</v>
      </c>
      <c r="M288" s="8"/>
      <c r="N288" s="49">
        <f>N289</f>
        <v>60092497</v>
      </c>
      <c r="O288" s="8"/>
      <c r="P288" s="49">
        <f>P289</f>
        <v>60092497</v>
      </c>
      <c r="R288" s="49">
        <f>R289</f>
        <v>26201532.17</v>
      </c>
      <c r="S288" s="117">
        <f t="shared" si="12"/>
        <v>43.6020027092567</v>
      </c>
    </row>
    <row r="289" spans="1:19" ht="31.5">
      <c r="A289" s="9" t="s">
        <v>357</v>
      </c>
      <c r="B289" s="8" t="s">
        <v>36</v>
      </c>
      <c r="C289" s="8" t="s">
        <v>73</v>
      </c>
      <c r="D289" s="8" t="s">
        <v>364</v>
      </c>
      <c r="E289" s="8" t="s">
        <v>356</v>
      </c>
      <c r="F289" s="49">
        <v>0</v>
      </c>
      <c r="G289" s="8" t="s">
        <v>544</v>
      </c>
      <c r="H289" s="49">
        <f>F289+G289</f>
        <v>64279000</v>
      </c>
      <c r="I289" s="8" t="s">
        <v>376</v>
      </c>
      <c r="J289" s="49">
        <f>H289+I289</f>
        <v>64279000</v>
      </c>
      <c r="K289" s="8" t="s">
        <v>589</v>
      </c>
      <c r="L289" s="49">
        <f>J289+K289</f>
        <v>60092497</v>
      </c>
      <c r="M289" s="8" t="s">
        <v>376</v>
      </c>
      <c r="N289" s="49">
        <f>L289+M289</f>
        <v>60092497</v>
      </c>
      <c r="O289" s="8"/>
      <c r="P289" s="49">
        <f>N289+O289</f>
        <v>60092497</v>
      </c>
      <c r="R289" s="49">
        <v>26201532.17</v>
      </c>
      <c r="S289" s="117">
        <f t="shared" si="12"/>
        <v>43.6020027092567</v>
      </c>
    </row>
    <row r="290" spans="1:19" ht="15.75">
      <c r="A290" s="18" t="s">
        <v>307</v>
      </c>
      <c r="B290" s="8" t="s">
        <v>36</v>
      </c>
      <c r="C290" s="8" t="s">
        <v>73</v>
      </c>
      <c r="D290" s="8" t="s">
        <v>78</v>
      </c>
      <c r="E290" s="8"/>
      <c r="F290" s="49"/>
      <c r="G290" s="8"/>
      <c r="H290" s="49">
        <f>H291+H293</f>
        <v>691900</v>
      </c>
      <c r="I290" s="8"/>
      <c r="J290" s="49">
        <f>J291+J293</f>
        <v>691900</v>
      </c>
      <c r="K290" s="8"/>
      <c r="L290" s="49">
        <f>L291+L293</f>
        <v>691900</v>
      </c>
      <c r="M290" s="8"/>
      <c r="N290" s="49">
        <f>N291+N293</f>
        <v>691900</v>
      </c>
      <c r="O290" s="8"/>
      <c r="P290" s="49">
        <f>P291+P293</f>
        <v>699108.4</v>
      </c>
      <c r="R290" s="49">
        <f>R291+R293</f>
        <v>99200</v>
      </c>
      <c r="S290" s="117">
        <f t="shared" si="12"/>
        <v>14.189501942760236</v>
      </c>
    </row>
    <row r="291" spans="1:19" ht="102.75" customHeight="1">
      <c r="A291" s="35" t="s">
        <v>743</v>
      </c>
      <c r="B291" s="29" t="s">
        <v>36</v>
      </c>
      <c r="C291" s="29">
        <v>1003</v>
      </c>
      <c r="D291" s="29" t="s">
        <v>264</v>
      </c>
      <c r="E291" s="29"/>
      <c r="F291" s="49">
        <f>F292</f>
        <v>0</v>
      </c>
      <c r="G291" s="29"/>
      <c r="H291" s="49">
        <f>H292</f>
        <v>221500</v>
      </c>
      <c r="I291" s="29"/>
      <c r="J291" s="49">
        <f>J292</f>
        <v>221500</v>
      </c>
      <c r="K291" s="29"/>
      <c r="L291" s="49">
        <f>L292</f>
        <v>221500</v>
      </c>
      <c r="M291" s="29"/>
      <c r="N291" s="49">
        <f>N292</f>
        <v>221500</v>
      </c>
      <c r="O291" s="29"/>
      <c r="P291" s="49">
        <f>P292</f>
        <v>228708.4</v>
      </c>
      <c r="R291" s="49">
        <f>R292</f>
        <v>99200</v>
      </c>
      <c r="S291" s="117">
        <f t="shared" si="12"/>
        <v>43.374008125630716</v>
      </c>
    </row>
    <row r="292" spans="1:19" ht="47.25">
      <c r="A292" s="3" t="s">
        <v>349</v>
      </c>
      <c r="B292" s="29" t="s">
        <v>36</v>
      </c>
      <c r="C292" s="29" t="s">
        <v>73</v>
      </c>
      <c r="D292" s="29" t="s">
        <v>264</v>
      </c>
      <c r="E292" s="29" t="s">
        <v>336</v>
      </c>
      <c r="F292" s="49">
        <v>0</v>
      </c>
      <c r="G292" s="29" t="s">
        <v>546</v>
      </c>
      <c r="H292" s="49">
        <f>F292+G292</f>
        <v>221500</v>
      </c>
      <c r="I292" s="29" t="s">
        <v>376</v>
      </c>
      <c r="J292" s="49">
        <f>H292+I292</f>
        <v>221500</v>
      </c>
      <c r="K292" s="29"/>
      <c r="L292" s="49">
        <f>J292+K292</f>
        <v>221500</v>
      </c>
      <c r="M292" s="29"/>
      <c r="N292" s="49">
        <f>L292+M292</f>
        <v>221500</v>
      </c>
      <c r="O292" s="29" t="s">
        <v>730</v>
      </c>
      <c r="P292" s="49">
        <f>N292+O292</f>
        <v>228708.4</v>
      </c>
      <c r="R292" s="49">
        <v>99200</v>
      </c>
      <c r="S292" s="117">
        <f t="shared" si="12"/>
        <v>43.374008125630716</v>
      </c>
    </row>
    <row r="293" spans="1:19" ht="63">
      <c r="A293" s="3" t="s">
        <v>293</v>
      </c>
      <c r="B293" s="29" t="s">
        <v>36</v>
      </c>
      <c r="C293" s="29" t="s">
        <v>73</v>
      </c>
      <c r="D293" s="29" t="s">
        <v>261</v>
      </c>
      <c r="E293" s="29"/>
      <c r="F293" s="46">
        <f>F294</f>
        <v>0</v>
      </c>
      <c r="G293" s="29"/>
      <c r="H293" s="46">
        <f>H294</f>
        <v>470400</v>
      </c>
      <c r="I293" s="29"/>
      <c r="J293" s="46">
        <f>J294</f>
        <v>470400</v>
      </c>
      <c r="K293" s="29"/>
      <c r="L293" s="46">
        <f>L294</f>
        <v>470400</v>
      </c>
      <c r="M293" s="29"/>
      <c r="N293" s="46">
        <f>N294</f>
        <v>470400</v>
      </c>
      <c r="O293" s="29"/>
      <c r="P293" s="46">
        <f>P294</f>
        <v>470400</v>
      </c>
      <c r="R293" s="46">
        <f>R294</f>
        <v>0</v>
      </c>
      <c r="S293" s="117">
        <f t="shared" si="12"/>
        <v>0</v>
      </c>
    </row>
    <row r="294" spans="1:19" ht="42" customHeight="1">
      <c r="A294" s="3" t="s">
        <v>359</v>
      </c>
      <c r="B294" s="29" t="s">
        <v>36</v>
      </c>
      <c r="C294" s="29" t="s">
        <v>73</v>
      </c>
      <c r="D294" s="29" t="s">
        <v>261</v>
      </c>
      <c r="E294" s="29" t="s">
        <v>358</v>
      </c>
      <c r="F294" s="46">
        <v>0</v>
      </c>
      <c r="G294" s="29" t="s">
        <v>437</v>
      </c>
      <c r="H294" s="46">
        <f>F294+G294</f>
        <v>470400</v>
      </c>
      <c r="I294" s="29" t="s">
        <v>376</v>
      </c>
      <c r="J294" s="46">
        <f>H294+I294</f>
        <v>470400</v>
      </c>
      <c r="K294" s="29"/>
      <c r="L294" s="46">
        <f>J294+K294</f>
        <v>470400</v>
      </c>
      <c r="M294" s="29"/>
      <c r="N294" s="46">
        <f>L294+M294</f>
        <v>470400</v>
      </c>
      <c r="O294" s="29"/>
      <c r="P294" s="46">
        <f>N294+O294</f>
        <v>470400</v>
      </c>
      <c r="R294" s="46">
        <v>0</v>
      </c>
      <c r="S294" s="117">
        <f t="shared" si="12"/>
        <v>0</v>
      </c>
    </row>
    <row r="295" spans="1:19" ht="48" customHeight="1">
      <c r="A295" s="1" t="s">
        <v>600</v>
      </c>
      <c r="B295" s="8" t="s">
        <v>36</v>
      </c>
      <c r="C295" s="29" t="s">
        <v>73</v>
      </c>
      <c r="D295" s="8" t="s">
        <v>601</v>
      </c>
      <c r="E295" s="8"/>
      <c r="F295" s="80"/>
      <c r="G295" s="81"/>
      <c r="H295" s="80"/>
      <c r="I295" s="81"/>
      <c r="J295" s="80"/>
      <c r="K295" s="82"/>
      <c r="L295" s="80">
        <f>L296</f>
        <v>604800</v>
      </c>
      <c r="M295" s="82"/>
      <c r="N295" s="80">
        <f>N296</f>
        <v>604800</v>
      </c>
      <c r="O295" s="82"/>
      <c r="P295" s="80">
        <f>P296</f>
        <v>604800</v>
      </c>
      <c r="R295" s="80">
        <f>R296</f>
        <v>0</v>
      </c>
      <c r="S295" s="117">
        <f t="shared" si="12"/>
        <v>0</v>
      </c>
    </row>
    <row r="296" spans="1:19" ht="32.25" customHeight="1">
      <c r="A296" s="83" t="s">
        <v>602</v>
      </c>
      <c r="B296" s="8" t="s">
        <v>36</v>
      </c>
      <c r="C296" s="29" t="s">
        <v>73</v>
      </c>
      <c r="D296" s="8" t="s">
        <v>603</v>
      </c>
      <c r="E296" s="8"/>
      <c r="F296" s="80"/>
      <c r="G296" s="81"/>
      <c r="H296" s="80"/>
      <c r="I296" s="81"/>
      <c r="J296" s="80"/>
      <c r="K296" s="82"/>
      <c r="L296" s="80">
        <f>L297</f>
        <v>604800</v>
      </c>
      <c r="M296" s="82"/>
      <c r="N296" s="80">
        <f>N297</f>
        <v>604800</v>
      </c>
      <c r="O296" s="82"/>
      <c r="P296" s="80">
        <f>P297</f>
        <v>604800</v>
      </c>
      <c r="R296" s="80">
        <f>R297</f>
        <v>0</v>
      </c>
      <c r="S296" s="117">
        <f t="shared" si="12"/>
        <v>0</v>
      </c>
    </row>
    <row r="297" spans="1:19" ht="31.5">
      <c r="A297" s="1" t="s">
        <v>359</v>
      </c>
      <c r="B297" s="8" t="s">
        <v>36</v>
      </c>
      <c r="C297" s="29" t="s">
        <v>73</v>
      </c>
      <c r="D297" s="8" t="s">
        <v>603</v>
      </c>
      <c r="E297" s="8" t="s">
        <v>358</v>
      </c>
      <c r="F297" s="80"/>
      <c r="G297" s="81"/>
      <c r="H297" s="80"/>
      <c r="I297" s="81"/>
      <c r="J297" s="80"/>
      <c r="K297" s="82">
        <v>604800</v>
      </c>
      <c r="L297" s="80">
        <f>K297+J297</f>
        <v>604800</v>
      </c>
      <c r="M297" s="82">
        <v>0</v>
      </c>
      <c r="N297" s="80">
        <f>M297+L297</f>
        <v>604800</v>
      </c>
      <c r="O297" s="82"/>
      <c r="P297" s="80">
        <f>O297+N297</f>
        <v>604800</v>
      </c>
      <c r="R297" s="80">
        <v>0</v>
      </c>
      <c r="S297" s="117">
        <f t="shared" si="12"/>
        <v>0</v>
      </c>
    </row>
    <row r="298" spans="1:19" ht="69" customHeight="1">
      <c r="A298" s="18" t="s">
        <v>202</v>
      </c>
      <c r="B298" s="8" t="s">
        <v>36</v>
      </c>
      <c r="C298" s="29" t="s">
        <v>73</v>
      </c>
      <c r="D298" s="8" t="s">
        <v>289</v>
      </c>
      <c r="E298" s="8"/>
      <c r="F298" s="80"/>
      <c r="G298" s="81"/>
      <c r="H298" s="80"/>
      <c r="I298" s="81"/>
      <c r="J298" s="80"/>
      <c r="K298" s="82"/>
      <c r="L298" s="80"/>
      <c r="M298" s="82"/>
      <c r="N298" s="80"/>
      <c r="O298" s="82"/>
      <c r="P298" s="80">
        <f>P299</f>
        <v>1216500</v>
      </c>
      <c r="R298" s="80">
        <f>R299</f>
        <v>0</v>
      </c>
      <c r="S298" s="117">
        <f t="shared" si="12"/>
        <v>0</v>
      </c>
    </row>
    <row r="299" spans="1:19" ht="47.25">
      <c r="A299" s="3" t="s">
        <v>349</v>
      </c>
      <c r="B299" s="102" t="s">
        <v>36</v>
      </c>
      <c r="C299" s="29" t="s">
        <v>73</v>
      </c>
      <c r="D299" s="102" t="s">
        <v>289</v>
      </c>
      <c r="E299" s="102" t="s">
        <v>336</v>
      </c>
      <c r="F299" s="80"/>
      <c r="G299" s="81"/>
      <c r="H299" s="80"/>
      <c r="I299" s="81"/>
      <c r="J299" s="80"/>
      <c r="K299" s="82"/>
      <c r="L299" s="80"/>
      <c r="M299" s="82"/>
      <c r="N299" s="80"/>
      <c r="O299" s="82">
        <v>1216500</v>
      </c>
      <c r="P299" s="47">
        <f>N299+O299</f>
        <v>1216500</v>
      </c>
      <c r="R299" s="47">
        <v>0</v>
      </c>
      <c r="S299" s="117">
        <f t="shared" si="12"/>
        <v>0</v>
      </c>
    </row>
    <row r="300" spans="1:19" ht="47.25">
      <c r="A300" s="18" t="s">
        <v>719</v>
      </c>
      <c r="B300" s="10" t="s">
        <v>36</v>
      </c>
      <c r="C300" s="39" t="s">
        <v>73</v>
      </c>
      <c r="D300" s="10" t="s">
        <v>290</v>
      </c>
      <c r="E300" s="103"/>
      <c r="F300" s="80"/>
      <c r="G300" s="81"/>
      <c r="H300" s="80"/>
      <c r="I300" s="81"/>
      <c r="J300" s="80"/>
      <c r="K300" s="82"/>
      <c r="L300" s="80"/>
      <c r="M300" s="82"/>
      <c r="N300" s="80"/>
      <c r="O300" s="82"/>
      <c r="P300" s="80">
        <f>P301</f>
        <v>998500</v>
      </c>
      <c r="R300" s="80">
        <f>R301</f>
        <v>991400</v>
      </c>
      <c r="S300" s="117">
        <f t="shared" si="12"/>
        <v>99.28893340010015</v>
      </c>
    </row>
    <row r="301" spans="1:19" ht="47.25">
      <c r="A301" s="3" t="s">
        <v>349</v>
      </c>
      <c r="B301" s="10" t="s">
        <v>36</v>
      </c>
      <c r="C301" s="39" t="s">
        <v>73</v>
      </c>
      <c r="D301" s="10" t="s">
        <v>290</v>
      </c>
      <c r="E301" s="104" t="s">
        <v>336</v>
      </c>
      <c r="F301" s="80"/>
      <c r="G301" s="81"/>
      <c r="H301" s="80"/>
      <c r="I301" s="81"/>
      <c r="J301" s="80"/>
      <c r="K301" s="82"/>
      <c r="L301" s="80"/>
      <c r="M301" s="82"/>
      <c r="N301" s="80"/>
      <c r="O301" s="82">
        <v>998500</v>
      </c>
      <c r="P301" s="47">
        <f>N301+O301</f>
        <v>998500</v>
      </c>
      <c r="R301" s="47">
        <v>991400</v>
      </c>
      <c r="S301" s="117">
        <f t="shared" si="12"/>
        <v>99.28893340010015</v>
      </c>
    </row>
    <row r="302" spans="1:19" ht="31.5">
      <c r="A302" s="60" t="s">
        <v>253</v>
      </c>
      <c r="B302" s="29" t="s">
        <v>36</v>
      </c>
      <c r="C302" s="61" t="s">
        <v>254</v>
      </c>
      <c r="D302" s="29"/>
      <c r="E302" s="29"/>
      <c r="F302" s="47">
        <f>F303+F308</f>
        <v>0</v>
      </c>
      <c r="G302" s="29"/>
      <c r="H302" s="47">
        <f>H303+H308</f>
        <v>0</v>
      </c>
      <c r="I302" s="29"/>
      <c r="J302" s="47">
        <f>J303+J308</f>
        <v>0</v>
      </c>
      <c r="K302" s="29"/>
      <c r="L302" s="47">
        <f>L303+L308</f>
        <v>4497632.8</v>
      </c>
      <c r="M302" s="29"/>
      <c r="N302" s="47">
        <f>N303+N308+N313</f>
        <v>4747632.8</v>
      </c>
      <c r="O302" s="29"/>
      <c r="P302" s="47">
        <f>P303+P308+P313</f>
        <v>4747632.8</v>
      </c>
      <c r="R302" s="47">
        <f>R303+R308+R313</f>
        <v>1471312.99</v>
      </c>
      <c r="S302" s="117">
        <f t="shared" si="12"/>
        <v>30.990454653527543</v>
      </c>
    </row>
    <row r="303" spans="1:19" ht="47.25">
      <c r="A303" s="3" t="s">
        <v>276</v>
      </c>
      <c r="B303" s="29" t="s">
        <v>36</v>
      </c>
      <c r="C303" s="29" t="s">
        <v>254</v>
      </c>
      <c r="D303" s="29" t="s">
        <v>363</v>
      </c>
      <c r="E303" s="29"/>
      <c r="F303" s="47">
        <f>F304+F305+F306+F307</f>
        <v>0</v>
      </c>
      <c r="G303" s="29"/>
      <c r="H303" s="47">
        <f>H304+H305+H306+H307</f>
        <v>0</v>
      </c>
      <c r="I303" s="29"/>
      <c r="J303" s="47">
        <f>J304+J305+J306+J307</f>
        <v>0</v>
      </c>
      <c r="K303" s="29"/>
      <c r="L303" s="47">
        <f>L304+L305+L306+L307</f>
        <v>311129.80000000005</v>
      </c>
      <c r="M303" s="29"/>
      <c r="N303" s="47">
        <f>N304+N305+N306+N307</f>
        <v>311129.80000000005</v>
      </c>
      <c r="O303" s="29"/>
      <c r="P303" s="47">
        <f>P304+P305+P306+P307</f>
        <v>311129.80000000005</v>
      </c>
      <c r="R303" s="47">
        <f>R304+R305+R306+R307</f>
        <v>45249.16</v>
      </c>
      <c r="S303" s="117">
        <f t="shared" si="12"/>
        <v>14.543499208368981</v>
      </c>
    </row>
    <row r="304" spans="1:19" ht="31.5">
      <c r="A304" s="3" t="s">
        <v>319</v>
      </c>
      <c r="B304" s="29" t="s">
        <v>36</v>
      </c>
      <c r="C304" s="29" t="s">
        <v>254</v>
      </c>
      <c r="D304" s="29" t="s">
        <v>363</v>
      </c>
      <c r="E304" s="29" t="s">
        <v>314</v>
      </c>
      <c r="F304" s="47">
        <v>0</v>
      </c>
      <c r="G304" s="29"/>
      <c r="H304" s="47">
        <f>F304+G304</f>
        <v>0</v>
      </c>
      <c r="I304" s="29"/>
      <c r="J304" s="47">
        <f>H304+I304</f>
        <v>0</v>
      </c>
      <c r="K304" s="29" t="s">
        <v>596</v>
      </c>
      <c r="L304" s="47">
        <f>J304+K304</f>
        <v>400</v>
      </c>
      <c r="M304" s="29" t="s">
        <v>376</v>
      </c>
      <c r="N304" s="47">
        <f>L304+M304</f>
        <v>400</v>
      </c>
      <c r="O304" s="29"/>
      <c r="P304" s="47">
        <f>N304+O304</f>
        <v>400</v>
      </c>
      <c r="R304" s="47">
        <v>0</v>
      </c>
      <c r="S304" s="117">
        <f t="shared" si="12"/>
        <v>0</v>
      </c>
    </row>
    <row r="305" spans="1:19" ht="47.25">
      <c r="A305" s="3" t="s">
        <v>320</v>
      </c>
      <c r="B305" s="29" t="s">
        <v>36</v>
      </c>
      <c r="C305" s="29" t="s">
        <v>254</v>
      </c>
      <c r="D305" s="29" t="s">
        <v>363</v>
      </c>
      <c r="E305" s="29" t="s">
        <v>315</v>
      </c>
      <c r="F305" s="47">
        <v>0</v>
      </c>
      <c r="G305" s="29" t="s">
        <v>376</v>
      </c>
      <c r="H305" s="47">
        <f>F305+G305</f>
        <v>0</v>
      </c>
      <c r="I305" s="29" t="s">
        <v>376</v>
      </c>
      <c r="J305" s="47">
        <f>H305+I305</f>
        <v>0</v>
      </c>
      <c r="K305" s="95">
        <f>95288.1-3300</f>
        <v>91988.1</v>
      </c>
      <c r="L305" s="47">
        <f>J305+K305</f>
        <v>91988.1</v>
      </c>
      <c r="M305" s="95">
        <v>0</v>
      </c>
      <c r="N305" s="47">
        <f>L305+M305</f>
        <v>91988.1</v>
      </c>
      <c r="O305" s="95"/>
      <c r="P305" s="47">
        <f>N305+O305</f>
        <v>91988.1</v>
      </c>
      <c r="R305" s="47">
        <v>9224.16</v>
      </c>
      <c r="S305" s="117">
        <f t="shared" si="12"/>
        <v>10.027557912382145</v>
      </c>
    </row>
    <row r="306" spans="1:19" ht="31.5">
      <c r="A306" s="3" t="s">
        <v>321</v>
      </c>
      <c r="B306" s="29" t="s">
        <v>36</v>
      </c>
      <c r="C306" s="29" t="s">
        <v>254</v>
      </c>
      <c r="D306" s="29" t="s">
        <v>363</v>
      </c>
      <c r="E306" s="29" t="s">
        <v>316</v>
      </c>
      <c r="F306" s="47">
        <v>0</v>
      </c>
      <c r="G306" s="29" t="s">
        <v>376</v>
      </c>
      <c r="H306" s="47">
        <f>F306+G306</f>
        <v>0</v>
      </c>
      <c r="I306" s="29" t="s">
        <v>376</v>
      </c>
      <c r="J306" s="47">
        <f>H306+I306</f>
        <v>0</v>
      </c>
      <c r="K306" s="95">
        <f>215441.7+3300</f>
        <v>218741.7</v>
      </c>
      <c r="L306" s="47">
        <f>J306+K306</f>
        <v>218741.7</v>
      </c>
      <c r="M306" s="95">
        <v>0</v>
      </c>
      <c r="N306" s="47">
        <f>L306+M306</f>
        <v>218741.7</v>
      </c>
      <c r="O306" s="95"/>
      <c r="P306" s="47">
        <f>N306+O306</f>
        <v>218741.7</v>
      </c>
      <c r="R306" s="47">
        <v>36025</v>
      </c>
      <c r="S306" s="117">
        <f t="shared" si="12"/>
        <v>16.46919631693454</v>
      </c>
    </row>
    <row r="307" spans="1:19" ht="0.75" customHeight="1" hidden="1">
      <c r="A307" s="62" t="s">
        <v>357</v>
      </c>
      <c r="B307" s="29" t="s">
        <v>36</v>
      </c>
      <c r="C307" s="29" t="s">
        <v>254</v>
      </c>
      <c r="D307" s="29" t="s">
        <v>363</v>
      </c>
      <c r="E307" s="29" t="s">
        <v>356</v>
      </c>
      <c r="F307" s="47">
        <v>0</v>
      </c>
      <c r="G307" s="29"/>
      <c r="H307" s="47">
        <f>F307+G307</f>
        <v>0</v>
      </c>
      <c r="I307" s="29"/>
      <c r="J307" s="47">
        <f>H307+I307</f>
        <v>0</v>
      </c>
      <c r="K307" s="29" t="s">
        <v>376</v>
      </c>
      <c r="L307" s="47">
        <f>J307+K307</f>
        <v>0</v>
      </c>
      <c r="M307" s="29" t="s">
        <v>376</v>
      </c>
      <c r="N307" s="47">
        <f>L307+M307</f>
        <v>0</v>
      </c>
      <c r="O307" s="29"/>
      <c r="P307" s="47">
        <f>N307+O307</f>
        <v>0</v>
      </c>
      <c r="R307" s="47">
        <f>P307+Q307</f>
        <v>0</v>
      </c>
      <c r="S307" s="117" t="e">
        <f t="shared" si="12"/>
        <v>#DIV/0!</v>
      </c>
    </row>
    <row r="308" spans="1:19" ht="80.25" customHeight="1">
      <c r="A308" s="7" t="s">
        <v>208</v>
      </c>
      <c r="B308" s="8" t="s">
        <v>36</v>
      </c>
      <c r="C308" s="29" t="s">
        <v>254</v>
      </c>
      <c r="D308" s="29" t="s">
        <v>364</v>
      </c>
      <c r="E308" s="29"/>
      <c r="F308" s="47">
        <f>F309+F310+F311+F312</f>
        <v>0</v>
      </c>
      <c r="G308" s="29"/>
      <c r="H308" s="47">
        <f>H309+H310+H311+H312</f>
        <v>0</v>
      </c>
      <c r="I308" s="29"/>
      <c r="J308" s="47">
        <f>J309+J310+J311+J312</f>
        <v>0</v>
      </c>
      <c r="K308" s="29"/>
      <c r="L308" s="47">
        <f>L309+L310+L311+L312</f>
        <v>4186503</v>
      </c>
      <c r="M308" s="29"/>
      <c r="N308" s="47">
        <f>N309+N310+N311+N312</f>
        <v>4186503</v>
      </c>
      <c r="O308" s="29"/>
      <c r="P308" s="47">
        <f>P309+P310+P311+P312</f>
        <v>4186503</v>
      </c>
      <c r="R308" s="47">
        <f>R309+R310+R311+R312</f>
        <v>1340889.83</v>
      </c>
      <c r="S308" s="117">
        <f t="shared" si="12"/>
        <v>32.02887541224741</v>
      </c>
    </row>
    <row r="309" spans="1:19" ht="15.75">
      <c r="A309" s="1" t="s">
        <v>318</v>
      </c>
      <c r="B309" s="8" t="s">
        <v>36</v>
      </c>
      <c r="C309" s="29" t="s">
        <v>254</v>
      </c>
      <c r="D309" s="29" t="s">
        <v>364</v>
      </c>
      <c r="E309" s="29" t="s">
        <v>313</v>
      </c>
      <c r="F309" s="47">
        <v>0</v>
      </c>
      <c r="G309" s="29"/>
      <c r="H309" s="47">
        <f>F309+G309</f>
        <v>0</v>
      </c>
      <c r="I309" s="29"/>
      <c r="J309" s="47">
        <f>H309+I309</f>
        <v>0</v>
      </c>
      <c r="K309" s="29" t="s">
        <v>590</v>
      </c>
      <c r="L309" s="47">
        <f>J309+K309</f>
        <v>2033620</v>
      </c>
      <c r="M309" s="29" t="s">
        <v>376</v>
      </c>
      <c r="N309" s="47">
        <f>L309+M309</f>
        <v>2033620</v>
      </c>
      <c r="O309" s="29"/>
      <c r="P309" s="47">
        <f>N309+O309</f>
        <v>2033620</v>
      </c>
      <c r="R309" s="47">
        <v>776345</v>
      </c>
      <c r="S309" s="117">
        <f t="shared" si="12"/>
        <v>38.175519516920566</v>
      </c>
    </row>
    <row r="310" spans="1:19" ht="31.5">
      <c r="A310" s="1" t="s">
        <v>319</v>
      </c>
      <c r="B310" s="8" t="s">
        <v>36</v>
      </c>
      <c r="C310" s="29" t="s">
        <v>254</v>
      </c>
      <c r="D310" s="29" t="s">
        <v>364</v>
      </c>
      <c r="E310" s="29" t="s">
        <v>314</v>
      </c>
      <c r="F310" s="47">
        <v>0</v>
      </c>
      <c r="G310" s="29"/>
      <c r="H310" s="47">
        <f>F310+G310</f>
        <v>0</v>
      </c>
      <c r="I310" s="29"/>
      <c r="J310" s="47">
        <f>H310+I310</f>
        <v>0</v>
      </c>
      <c r="K310" s="29" t="s">
        <v>591</v>
      </c>
      <c r="L310" s="47">
        <f>J310+K310</f>
        <v>2000</v>
      </c>
      <c r="M310" s="29" t="s">
        <v>376</v>
      </c>
      <c r="N310" s="47">
        <f>L310+M310</f>
        <v>2000</v>
      </c>
      <c r="O310" s="29"/>
      <c r="P310" s="47">
        <f>N310+O310</f>
        <v>2000</v>
      </c>
      <c r="R310" s="47">
        <v>0</v>
      </c>
      <c r="S310" s="117">
        <f t="shared" si="12"/>
        <v>0</v>
      </c>
    </row>
    <row r="311" spans="1:19" ht="47.25">
      <c r="A311" s="1" t="s">
        <v>320</v>
      </c>
      <c r="B311" s="8" t="s">
        <v>36</v>
      </c>
      <c r="C311" s="29" t="s">
        <v>254</v>
      </c>
      <c r="D311" s="29" t="s">
        <v>364</v>
      </c>
      <c r="E311" s="29" t="s">
        <v>315</v>
      </c>
      <c r="F311" s="47">
        <v>0</v>
      </c>
      <c r="G311" s="29" t="s">
        <v>376</v>
      </c>
      <c r="H311" s="47">
        <f>F311+G311</f>
        <v>0</v>
      </c>
      <c r="I311" s="29" t="s">
        <v>376</v>
      </c>
      <c r="J311" s="47">
        <f>H311+I311</f>
        <v>0</v>
      </c>
      <c r="K311" s="95">
        <f>486706-76800</f>
        <v>409906</v>
      </c>
      <c r="L311" s="47">
        <f>J311+K311</f>
        <v>409906</v>
      </c>
      <c r="M311" s="95">
        <v>0</v>
      </c>
      <c r="N311" s="47">
        <f>L311+M311</f>
        <v>409906</v>
      </c>
      <c r="O311" s="95"/>
      <c r="P311" s="47">
        <f>N311+O311</f>
        <v>409906</v>
      </c>
      <c r="R311" s="47">
        <v>138175.31</v>
      </c>
      <c r="S311" s="117">
        <f t="shared" si="12"/>
        <v>33.70902353222446</v>
      </c>
    </row>
    <row r="312" spans="1:19" ht="31.5">
      <c r="A312" s="24" t="s">
        <v>365</v>
      </c>
      <c r="B312" s="8" t="s">
        <v>36</v>
      </c>
      <c r="C312" s="29" t="s">
        <v>254</v>
      </c>
      <c r="D312" s="29" t="s">
        <v>364</v>
      </c>
      <c r="E312" s="29" t="s">
        <v>316</v>
      </c>
      <c r="F312" s="47">
        <v>0</v>
      </c>
      <c r="G312" s="29" t="s">
        <v>376</v>
      </c>
      <c r="H312" s="47">
        <f>F312+G312</f>
        <v>0</v>
      </c>
      <c r="I312" s="29" t="s">
        <v>376</v>
      </c>
      <c r="J312" s="47">
        <f>H312+I312</f>
        <v>0</v>
      </c>
      <c r="K312" s="95">
        <f>1664177+76800</f>
        <v>1740977</v>
      </c>
      <c r="L312" s="47">
        <f>J312+K312</f>
        <v>1740977</v>
      </c>
      <c r="M312" s="95">
        <v>0</v>
      </c>
      <c r="N312" s="47">
        <f>L312+M312</f>
        <v>1740977</v>
      </c>
      <c r="O312" s="95"/>
      <c r="P312" s="47">
        <f>N312+O312</f>
        <v>1740977</v>
      </c>
      <c r="R312" s="47">
        <v>426369.52</v>
      </c>
      <c r="S312" s="117">
        <f t="shared" si="12"/>
        <v>24.490244270889278</v>
      </c>
    </row>
    <row r="313" spans="1:19" ht="15.75">
      <c r="A313" s="18" t="s">
        <v>550</v>
      </c>
      <c r="B313" s="8" t="s">
        <v>36</v>
      </c>
      <c r="C313" s="29" t="s">
        <v>254</v>
      </c>
      <c r="D313" s="8" t="s">
        <v>562</v>
      </c>
      <c r="E313" s="8"/>
      <c r="F313" s="47"/>
      <c r="G313" s="29"/>
      <c r="H313" s="47"/>
      <c r="I313" s="29"/>
      <c r="J313" s="47">
        <f>J314+J315</f>
        <v>250000</v>
      </c>
      <c r="K313" s="29"/>
      <c r="L313" s="47">
        <f>L314+L315</f>
        <v>250000</v>
      </c>
      <c r="M313" s="29"/>
      <c r="N313" s="47">
        <f>N314+N315</f>
        <v>250000</v>
      </c>
      <c r="O313" s="29"/>
      <c r="P313" s="47">
        <f>P314+P315</f>
        <v>250000</v>
      </c>
      <c r="R313" s="47">
        <f>R314+R315</f>
        <v>85174</v>
      </c>
      <c r="S313" s="117">
        <f t="shared" si="12"/>
        <v>34.0696</v>
      </c>
    </row>
    <row r="314" spans="1:19" ht="15.75" customHeight="1">
      <c r="A314" s="1" t="s">
        <v>327</v>
      </c>
      <c r="B314" s="8" t="s">
        <v>36</v>
      </c>
      <c r="C314" s="29" t="s">
        <v>254</v>
      </c>
      <c r="D314" s="8" t="s">
        <v>562</v>
      </c>
      <c r="E314" s="8" t="s">
        <v>326</v>
      </c>
      <c r="F314" s="47"/>
      <c r="G314" s="29"/>
      <c r="H314" s="47"/>
      <c r="I314" s="29" t="s">
        <v>505</v>
      </c>
      <c r="J314" s="46">
        <f>H314+I314</f>
        <v>200000</v>
      </c>
      <c r="K314" s="29"/>
      <c r="L314" s="46">
        <f>J314+K314</f>
        <v>200000</v>
      </c>
      <c r="M314" s="29"/>
      <c r="N314" s="46">
        <f>L314+M314</f>
        <v>200000</v>
      </c>
      <c r="O314" s="29"/>
      <c r="P314" s="46">
        <f>N314+O314</f>
        <v>200000</v>
      </c>
      <c r="R314" s="46">
        <v>85174</v>
      </c>
      <c r="S314" s="117">
        <f t="shared" si="12"/>
        <v>42.587</v>
      </c>
    </row>
    <row r="315" spans="1:19" ht="63.75" customHeight="1">
      <c r="A315" s="1" t="s">
        <v>367</v>
      </c>
      <c r="B315" s="8" t="s">
        <v>36</v>
      </c>
      <c r="C315" s="29" t="s">
        <v>254</v>
      </c>
      <c r="D315" s="29" t="s">
        <v>562</v>
      </c>
      <c r="E315" s="29" t="s">
        <v>353</v>
      </c>
      <c r="F315" s="47"/>
      <c r="G315" s="29"/>
      <c r="H315" s="47"/>
      <c r="I315" s="29" t="s">
        <v>450</v>
      </c>
      <c r="J315" s="46">
        <f>H315+I315</f>
        <v>50000</v>
      </c>
      <c r="K315" s="29"/>
      <c r="L315" s="46">
        <f>J315+K315</f>
        <v>50000</v>
      </c>
      <c r="M315" s="29"/>
      <c r="N315" s="46">
        <f>L315+M315</f>
        <v>50000</v>
      </c>
      <c r="O315" s="29"/>
      <c r="P315" s="46">
        <f>N315+O315</f>
        <v>50000</v>
      </c>
      <c r="R315" s="46">
        <v>0</v>
      </c>
      <c r="S315" s="117">
        <f t="shared" si="12"/>
        <v>0</v>
      </c>
    </row>
    <row r="316" spans="1:19" ht="15.75">
      <c r="A316" s="3" t="s">
        <v>123</v>
      </c>
      <c r="B316" s="8" t="s">
        <v>36</v>
      </c>
      <c r="C316" s="61" t="s">
        <v>231</v>
      </c>
      <c r="D316" s="8"/>
      <c r="E316" s="8"/>
      <c r="F316" s="49" t="e">
        <f>F317</f>
        <v>#REF!</v>
      </c>
      <c r="G316" s="8"/>
      <c r="H316" s="49">
        <f>H317</f>
        <v>1452000</v>
      </c>
      <c r="I316" s="8"/>
      <c r="J316" s="49">
        <f>J317</f>
        <v>1452000</v>
      </c>
      <c r="K316" s="8"/>
      <c r="L316" s="49">
        <f>L317</f>
        <v>1405800</v>
      </c>
      <c r="M316" s="8"/>
      <c r="N316" s="49">
        <f>N317</f>
        <v>1405800</v>
      </c>
      <c r="O316" s="8"/>
      <c r="P316" s="49">
        <f>P317</f>
        <v>1405800</v>
      </c>
      <c r="R316" s="49">
        <f>R317</f>
        <v>786856.12</v>
      </c>
      <c r="S316" s="117">
        <f t="shared" si="12"/>
        <v>55.97212405747617</v>
      </c>
    </row>
    <row r="317" spans="1:19" ht="15.75">
      <c r="A317" s="3" t="s">
        <v>247</v>
      </c>
      <c r="B317" s="10" t="s">
        <v>36</v>
      </c>
      <c r="C317" s="10" t="s">
        <v>246</v>
      </c>
      <c r="D317" s="10"/>
      <c r="E317" s="10"/>
      <c r="F317" s="45" t="e">
        <f>F318+F323</f>
        <v>#REF!</v>
      </c>
      <c r="G317" s="10"/>
      <c r="H317" s="45">
        <f>H318+H323+H321</f>
        <v>1452000</v>
      </c>
      <c r="I317" s="10"/>
      <c r="J317" s="45">
        <f>J318+J323+J321</f>
        <v>1452000</v>
      </c>
      <c r="K317" s="10"/>
      <c r="L317" s="45">
        <f>L318+L323+L321</f>
        <v>1405800</v>
      </c>
      <c r="M317" s="10"/>
      <c r="N317" s="45">
        <f>N318+N323+N321</f>
        <v>1405800</v>
      </c>
      <c r="O317" s="10"/>
      <c r="P317" s="45">
        <f>P318+P323+P321</f>
        <v>1405800</v>
      </c>
      <c r="R317" s="45">
        <f>R318+R323+R321</f>
        <v>786856.12</v>
      </c>
      <c r="S317" s="117">
        <f t="shared" si="12"/>
        <v>55.97212405747617</v>
      </c>
    </row>
    <row r="318" spans="1:19" ht="31.5">
      <c r="A318" s="35" t="s">
        <v>164</v>
      </c>
      <c r="B318" s="8" t="s">
        <v>36</v>
      </c>
      <c r="C318" s="8" t="s">
        <v>246</v>
      </c>
      <c r="D318" s="8">
        <v>5120000</v>
      </c>
      <c r="E318" s="8"/>
      <c r="F318" s="49">
        <f>F319</f>
        <v>0</v>
      </c>
      <c r="G318" s="8"/>
      <c r="H318" s="49">
        <f>H319</f>
        <v>722000</v>
      </c>
      <c r="I318" s="8"/>
      <c r="J318" s="49">
        <f>J319</f>
        <v>1252000</v>
      </c>
      <c r="K318" s="8"/>
      <c r="L318" s="49">
        <f>L319</f>
        <v>1205800</v>
      </c>
      <c r="M318" s="8"/>
      <c r="N318" s="49">
        <f>N319</f>
        <v>1205800</v>
      </c>
      <c r="O318" s="8"/>
      <c r="P318" s="49">
        <f>P319</f>
        <v>1205800</v>
      </c>
      <c r="R318" s="49">
        <f>R319</f>
        <v>786856.12</v>
      </c>
      <c r="S318" s="117">
        <f t="shared" si="12"/>
        <v>65.25593962514513</v>
      </c>
    </row>
    <row r="319" spans="1:19" ht="16.5" customHeight="1">
      <c r="A319" s="35" t="s">
        <v>217</v>
      </c>
      <c r="B319" s="8" t="s">
        <v>36</v>
      </c>
      <c r="C319" s="8" t="s">
        <v>246</v>
      </c>
      <c r="D319" s="8" t="s">
        <v>124</v>
      </c>
      <c r="E319" s="8"/>
      <c r="F319" s="49">
        <f>+F320</f>
        <v>0</v>
      </c>
      <c r="G319" s="8"/>
      <c r="H319" s="49">
        <f>+H320</f>
        <v>722000</v>
      </c>
      <c r="I319" s="8"/>
      <c r="J319" s="49">
        <f>+J320</f>
        <v>1252000</v>
      </c>
      <c r="K319" s="8"/>
      <c r="L319" s="49">
        <f>+L320</f>
        <v>1205800</v>
      </c>
      <c r="M319" s="8"/>
      <c r="N319" s="49">
        <f>+N320</f>
        <v>1205800</v>
      </c>
      <c r="O319" s="8"/>
      <c r="P319" s="49">
        <f>+P320</f>
        <v>1205800</v>
      </c>
      <c r="R319" s="49">
        <f>+R320</f>
        <v>786856.12</v>
      </c>
      <c r="S319" s="117">
        <f t="shared" si="12"/>
        <v>65.25593962514513</v>
      </c>
    </row>
    <row r="320" spans="1:19" ht="16.5" customHeight="1">
      <c r="A320" s="3" t="s">
        <v>327</v>
      </c>
      <c r="B320" s="8" t="s">
        <v>36</v>
      </c>
      <c r="C320" s="8" t="s">
        <v>246</v>
      </c>
      <c r="D320" s="8" t="s">
        <v>124</v>
      </c>
      <c r="E320" s="8" t="s">
        <v>326</v>
      </c>
      <c r="F320" s="49">
        <v>0</v>
      </c>
      <c r="G320" s="8" t="s">
        <v>511</v>
      </c>
      <c r="H320" s="49">
        <f>F320+G320</f>
        <v>722000</v>
      </c>
      <c r="I320" s="8" t="s">
        <v>569</v>
      </c>
      <c r="J320" s="49">
        <f>H320+I320</f>
        <v>1252000</v>
      </c>
      <c r="K320" s="8" t="s">
        <v>620</v>
      </c>
      <c r="L320" s="49">
        <f>J320+K320</f>
        <v>1205800</v>
      </c>
      <c r="M320" s="8" t="s">
        <v>376</v>
      </c>
      <c r="N320" s="49">
        <f>L320+M320</f>
        <v>1205800</v>
      </c>
      <c r="O320" s="8"/>
      <c r="P320" s="49">
        <f>N320+O320</f>
        <v>1205800</v>
      </c>
      <c r="R320" s="49">
        <v>786856.12</v>
      </c>
      <c r="S320" s="117">
        <f t="shared" si="12"/>
        <v>65.25593962514513</v>
      </c>
    </row>
    <row r="321" spans="1:19" ht="66.75" customHeight="1" hidden="1">
      <c r="A321" s="1" t="s">
        <v>420</v>
      </c>
      <c r="B321" s="8" t="s">
        <v>36</v>
      </c>
      <c r="C321" s="8" t="s">
        <v>246</v>
      </c>
      <c r="D321" s="8"/>
      <c r="E321" s="8"/>
      <c r="F321" s="49"/>
      <c r="G321" s="8"/>
      <c r="H321" s="49">
        <f>H322</f>
        <v>0</v>
      </c>
      <c r="I321" s="8"/>
      <c r="J321" s="49">
        <f>J322</f>
        <v>0</v>
      </c>
      <c r="K321" s="8"/>
      <c r="L321" s="49">
        <f>L322</f>
        <v>0</v>
      </c>
      <c r="M321" s="8"/>
      <c r="N321" s="49">
        <f>N322</f>
        <v>0</v>
      </c>
      <c r="O321" s="8"/>
      <c r="P321" s="49">
        <f>P322</f>
        <v>0</v>
      </c>
      <c r="R321" s="49">
        <f>R322</f>
        <v>0</v>
      </c>
      <c r="S321" s="117" t="e">
        <f t="shared" si="12"/>
        <v>#DIV/0!</v>
      </c>
    </row>
    <row r="322" spans="1:19" ht="44.25" customHeight="1" hidden="1">
      <c r="A322" s="1" t="s">
        <v>365</v>
      </c>
      <c r="B322" s="8" t="s">
        <v>36</v>
      </c>
      <c r="C322" s="8" t="s">
        <v>246</v>
      </c>
      <c r="D322" s="8" t="s">
        <v>419</v>
      </c>
      <c r="E322" s="8" t="s">
        <v>326</v>
      </c>
      <c r="F322" s="49"/>
      <c r="G322" s="8" t="s">
        <v>376</v>
      </c>
      <c r="H322" s="49">
        <f>F322+G322</f>
        <v>0</v>
      </c>
      <c r="I322" s="8" t="s">
        <v>376</v>
      </c>
      <c r="J322" s="49">
        <f>H322+I322</f>
        <v>0</v>
      </c>
      <c r="K322" s="8"/>
      <c r="L322" s="49">
        <f>J322+K322</f>
        <v>0</v>
      </c>
      <c r="M322" s="8"/>
      <c r="N322" s="49">
        <f>L322+M322</f>
        <v>0</v>
      </c>
      <c r="O322" s="8"/>
      <c r="P322" s="49">
        <f>N322+O322</f>
        <v>0</v>
      </c>
      <c r="R322" s="49">
        <f>P322+Q322</f>
        <v>0</v>
      </c>
      <c r="S322" s="117" t="e">
        <f t="shared" si="12"/>
        <v>#DIV/0!</v>
      </c>
    </row>
    <row r="323" spans="1:19" ht="17.25" customHeight="1">
      <c r="A323" s="3" t="s">
        <v>307</v>
      </c>
      <c r="B323" s="8" t="s">
        <v>36</v>
      </c>
      <c r="C323" s="8" t="s">
        <v>246</v>
      </c>
      <c r="D323" s="8" t="s">
        <v>78</v>
      </c>
      <c r="E323" s="8"/>
      <c r="F323" s="49" t="e">
        <f>#REF!+F324</f>
        <v>#REF!</v>
      </c>
      <c r="G323" s="8"/>
      <c r="H323" s="49">
        <f>H324</f>
        <v>730000</v>
      </c>
      <c r="I323" s="8"/>
      <c r="J323" s="49">
        <f>J324</f>
        <v>200000</v>
      </c>
      <c r="K323" s="8"/>
      <c r="L323" s="49">
        <f>L324</f>
        <v>200000</v>
      </c>
      <c r="M323" s="8"/>
      <c r="N323" s="49">
        <f>N324</f>
        <v>200000</v>
      </c>
      <c r="O323" s="8"/>
      <c r="P323" s="49">
        <f>P324</f>
        <v>200000</v>
      </c>
      <c r="R323" s="49">
        <f>R324</f>
        <v>0</v>
      </c>
      <c r="S323" s="117">
        <f t="shared" si="12"/>
        <v>0</v>
      </c>
    </row>
    <row r="324" spans="1:19" ht="66.75" customHeight="1">
      <c r="A324" s="3" t="s">
        <v>299</v>
      </c>
      <c r="B324" s="29" t="s">
        <v>36</v>
      </c>
      <c r="C324" s="29" t="s">
        <v>246</v>
      </c>
      <c r="D324" s="29" t="s">
        <v>300</v>
      </c>
      <c r="E324" s="29"/>
      <c r="F324" s="49">
        <f>F325</f>
        <v>0</v>
      </c>
      <c r="G324" s="29" t="s">
        <v>376</v>
      </c>
      <c r="H324" s="49">
        <f>H325</f>
        <v>730000</v>
      </c>
      <c r="I324" s="29" t="s">
        <v>376</v>
      </c>
      <c r="J324" s="49">
        <f>J325</f>
        <v>200000</v>
      </c>
      <c r="K324" s="29"/>
      <c r="L324" s="49">
        <f>L325</f>
        <v>200000</v>
      </c>
      <c r="M324" s="29"/>
      <c r="N324" s="49">
        <f>N325</f>
        <v>200000</v>
      </c>
      <c r="O324" s="29"/>
      <c r="P324" s="49">
        <f>P325</f>
        <v>200000</v>
      </c>
      <c r="R324" s="49">
        <f>R325</f>
        <v>0</v>
      </c>
      <c r="S324" s="117">
        <f t="shared" si="12"/>
        <v>0</v>
      </c>
    </row>
    <row r="325" spans="1:19" ht="16.5" customHeight="1">
      <c r="A325" s="3" t="s">
        <v>327</v>
      </c>
      <c r="B325" s="29" t="s">
        <v>36</v>
      </c>
      <c r="C325" s="29" t="s">
        <v>246</v>
      </c>
      <c r="D325" s="29" t="s">
        <v>300</v>
      </c>
      <c r="E325" s="29" t="s">
        <v>326</v>
      </c>
      <c r="F325" s="49">
        <v>0</v>
      </c>
      <c r="G325" s="29" t="s">
        <v>512</v>
      </c>
      <c r="H325" s="49">
        <f>F325+G325</f>
        <v>730000</v>
      </c>
      <c r="I325" s="29" t="s">
        <v>568</v>
      </c>
      <c r="J325" s="49">
        <f>H325+I325</f>
        <v>200000</v>
      </c>
      <c r="K325" s="29"/>
      <c r="L325" s="49">
        <f>J325+K325</f>
        <v>200000</v>
      </c>
      <c r="M325" s="29"/>
      <c r="N325" s="49">
        <f>L325+M325</f>
        <v>200000</v>
      </c>
      <c r="O325" s="29"/>
      <c r="P325" s="49">
        <f>N325+O325</f>
        <v>200000</v>
      </c>
      <c r="R325" s="49">
        <v>0</v>
      </c>
      <c r="S325" s="117">
        <f t="shared" si="12"/>
        <v>0</v>
      </c>
    </row>
    <row r="326" spans="1:19" ht="33.75" customHeight="1">
      <c r="A326" s="37" t="s">
        <v>244</v>
      </c>
      <c r="B326" s="38" t="s">
        <v>191</v>
      </c>
      <c r="C326" s="8"/>
      <c r="D326" s="8"/>
      <c r="E326" s="8"/>
      <c r="F326" s="58">
        <f>F327+F355+F366</f>
        <v>0</v>
      </c>
      <c r="G326" s="8"/>
      <c r="H326" s="58">
        <f>H327+H355+H366</f>
        <v>3777100</v>
      </c>
      <c r="I326" s="8"/>
      <c r="J326" s="58">
        <f>J327+J355+J366</f>
        <v>7936100</v>
      </c>
      <c r="K326" s="8"/>
      <c r="L326" s="58">
        <f>L327+L355+L366</f>
        <v>7557100</v>
      </c>
      <c r="M326" s="8"/>
      <c r="N326" s="58">
        <f>N327+N355+N366</f>
        <v>7557100</v>
      </c>
      <c r="O326" s="8"/>
      <c r="P326" s="58">
        <f>P327+P355+P366</f>
        <v>7557100</v>
      </c>
      <c r="R326" s="58">
        <f>R327+R355+R366</f>
        <v>2460651.17</v>
      </c>
      <c r="S326" s="118">
        <f t="shared" si="12"/>
        <v>32.5607861481256</v>
      </c>
    </row>
    <row r="327" spans="1:19" ht="15.75">
      <c r="A327" s="1" t="s">
        <v>141</v>
      </c>
      <c r="B327" s="10" t="s">
        <v>191</v>
      </c>
      <c r="C327" s="10" t="s">
        <v>216</v>
      </c>
      <c r="D327" s="8"/>
      <c r="E327" s="8"/>
      <c r="F327" s="49">
        <f>F328+F333+F346</f>
        <v>0</v>
      </c>
      <c r="G327" s="8"/>
      <c r="H327" s="49">
        <f>H328+H333+H346+H351+H353</f>
        <v>2037100</v>
      </c>
      <c r="I327" s="8"/>
      <c r="J327" s="49">
        <f>J328+J333+J346+J351+J353</f>
        <v>6296100</v>
      </c>
      <c r="K327" s="8"/>
      <c r="L327" s="49">
        <f>L328+L333+L346+L351+L353</f>
        <v>5917100</v>
      </c>
      <c r="M327" s="8"/>
      <c r="N327" s="49">
        <f>N328+N333+N346+N351+N353</f>
        <v>6047100</v>
      </c>
      <c r="O327" s="8"/>
      <c r="P327" s="49">
        <f>P328+P333+P346+P351+P353</f>
        <v>6047100</v>
      </c>
      <c r="R327" s="49">
        <f>R328+R333+R346+R351+R353</f>
        <v>2228862.68</v>
      </c>
      <c r="S327" s="117">
        <f t="shared" si="12"/>
        <v>36.8583731044633</v>
      </c>
    </row>
    <row r="328" spans="1:19" ht="18.75" customHeight="1">
      <c r="A328" s="1" t="s">
        <v>138</v>
      </c>
      <c r="B328" s="10" t="s">
        <v>191</v>
      </c>
      <c r="C328" s="10" t="s">
        <v>216</v>
      </c>
      <c r="D328" s="10" t="s">
        <v>85</v>
      </c>
      <c r="E328" s="10"/>
      <c r="F328" s="46">
        <f>F329+F330+F331+F332</f>
        <v>0</v>
      </c>
      <c r="G328" s="10"/>
      <c r="H328" s="46">
        <f>H329+H330+H331+H332</f>
        <v>1271100</v>
      </c>
      <c r="I328" s="10"/>
      <c r="J328" s="46">
        <f>J329+J330+J331+J332</f>
        <v>1271100</v>
      </c>
      <c r="K328" s="10"/>
      <c r="L328" s="46">
        <f>L329+L330+L331+L332</f>
        <v>1228115</v>
      </c>
      <c r="M328" s="10"/>
      <c r="N328" s="46">
        <f>N329+N330+N331+N332</f>
        <v>1228115</v>
      </c>
      <c r="O328" s="10"/>
      <c r="P328" s="46">
        <f>P329+P330+P331+P332</f>
        <v>1228115</v>
      </c>
      <c r="R328" s="46">
        <f>R329+R330+R331+R332</f>
        <v>550282.09</v>
      </c>
      <c r="S328" s="117">
        <f t="shared" si="12"/>
        <v>44.80704901413956</v>
      </c>
    </row>
    <row r="329" spans="1:19" ht="17.25" customHeight="1">
      <c r="A329" s="1" t="s">
        <v>318</v>
      </c>
      <c r="B329" s="10" t="s">
        <v>191</v>
      </c>
      <c r="C329" s="10" t="s">
        <v>216</v>
      </c>
      <c r="D329" s="10" t="s">
        <v>85</v>
      </c>
      <c r="E329" s="10" t="s">
        <v>342</v>
      </c>
      <c r="F329" s="46">
        <v>0</v>
      </c>
      <c r="G329" s="10" t="s">
        <v>453</v>
      </c>
      <c r="H329" s="46">
        <f>F329+G329</f>
        <v>1143198</v>
      </c>
      <c r="I329" s="10" t="s">
        <v>571</v>
      </c>
      <c r="J329" s="46">
        <f>H329+I329</f>
        <v>1139382</v>
      </c>
      <c r="K329" s="10" t="s">
        <v>650</v>
      </c>
      <c r="L329" s="46">
        <f>J329+K329</f>
        <v>1096397</v>
      </c>
      <c r="M329" s="10" t="s">
        <v>376</v>
      </c>
      <c r="N329" s="46">
        <f>L329+M329</f>
        <v>1096397</v>
      </c>
      <c r="O329" s="10"/>
      <c r="P329" s="46">
        <f>N329+O329</f>
        <v>1096397</v>
      </c>
      <c r="R329" s="46">
        <v>504753.05</v>
      </c>
      <c r="S329" s="117">
        <f t="shared" si="12"/>
        <v>46.037434432965426</v>
      </c>
    </row>
    <row r="330" spans="1:19" ht="31.5">
      <c r="A330" s="1" t="s">
        <v>319</v>
      </c>
      <c r="B330" s="10" t="s">
        <v>191</v>
      </c>
      <c r="C330" s="10" t="s">
        <v>216</v>
      </c>
      <c r="D330" s="10" t="s">
        <v>85</v>
      </c>
      <c r="E330" s="10" t="s">
        <v>348</v>
      </c>
      <c r="F330" s="46">
        <v>0</v>
      </c>
      <c r="G330" s="10" t="s">
        <v>454</v>
      </c>
      <c r="H330" s="46">
        <f>F330+G330</f>
        <v>3500</v>
      </c>
      <c r="I330" s="10" t="s">
        <v>376</v>
      </c>
      <c r="J330" s="46">
        <f>H330+I330</f>
        <v>3500</v>
      </c>
      <c r="K330" s="10"/>
      <c r="L330" s="46">
        <f>J330+K330</f>
        <v>3500</v>
      </c>
      <c r="M330" s="10"/>
      <c r="N330" s="46">
        <f>L330+M330</f>
        <v>3500</v>
      </c>
      <c r="O330" s="10"/>
      <c r="P330" s="46">
        <f>N330+O330</f>
        <v>3500</v>
      </c>
      <c r="R330" s="46">
        <v>0</v>
      </c>
      <c r="S330" s="117">
        <f t="shared" si="12"/>
        <v>0</v>
      </c>
    </row>
    <row r="331" spans="1:19" ht="47.25" customHeight="1">
      <c r="A331" s="1" t="s">
        <v>320</v>
      </c>
      <c r="B331" s="10" t="s">
        <v>191</v>
      </c>
      <c r="C331" s="10" t="s">
        <v>216</v>
      </c>
      <c r="D331" s="10" t="s">
        <v>85</v>
      </c>
      <c r="E331" s="10" t="s">
        <v>315</v>
      </c>
      <c r="F331" s="46">
        <v>0</v>
      </c>
      <c r="G331" s="10" t="s">
        <v>455</v>
      </c>
      <c r="H331" s="46">
        <f>F331+G331</f>
        <v>89500</v>
      </c>
      <c r="I331" s="10" t="s">
        <v>376</v>
      </c>
      <c r="J331" s="46">
        <f>H331+I331</f>
        <v>89500</v>
      </c>
      <c r="K331" s="10" t="s">
        <v>592</v>
      </c>
      <c r="L331" s="46">
        <f>J331+K331</f>
        <v>87700</v>
      </c>
      <c r="M331" s="10" t="s">
        <v>376</v>
      </c>
      <c r="N331" s="46">
        <f>L331+M331</f>
        <v>87700</v>
      </c>
      <c r="O331" s="10"/>
      <c r="P331" s="46">
        <f>N331+O331</f>
        <v>87700</v>
      </c>
      <c r="R331" s="46">
        <v>40729.04</v>
      </c>
      <c r="S331" s="117">
        <f t="shared" si="12"/>
        <v>46.441322690992024</v>
      </c>
    </row>
    <row r="332" spans="1:19" ht="34.5" customHeight="1">
      <c r="A332" s="1" t="s">
        <v>321</v>
      </c>
      <c r="B332" s="10" t="s">
        <v>191</v>
      </c>
      <c r="C332" s="10" t="s">
        <v>216</v>
      </c>
      <c r="D332" s="10" t="s">
        <v>85</v>
      </c>
      <c r="E332" s="10" t="s">
        <v>316</v>
      </c>
      <c r="F332" s="46">
        <v>0</v>
      </c>
      <c r="G332" s="10" t="s">
        <v>456</v>
      </c>
      <c r="H332" s="46">
        <f>F332+G332</f>
        <v>34902</v>
      </c>
      <c r="I332" s="10" t="s">
        <v>572</v>
      </c>
      <c r="J332" s="46">
        <f>H332+I332</f>
        <v>38718</v>
      </c>
      <c r="K332" s="10" t="s">
        <v>593</v>
      </c>
      <c r="L332" s="46">
        <f>J332+K332</f>
        <v>40518</v>
      </c>
      <c r="M332" s="10" t="s">
        <v>376</v>
      </c>
      <c r="N332" s="46">
        <f>L332+M332</f>
        <v>40518</v>
      </c>
      <c r="O332" s="10"/>
      <c r="P332" s="46">
        <f>N332+O332</f>
        <v>40518</v>
      </c>
      <c r="R332" s="46">
        <v>4800</v>
      </c>
      <c r="S332" s="117">
        <f t="shared" si="12"/>
        <v>11.846586702206427</v>
      </c>
    </row>
    <row r="333" spans="1:19" ht="63">
      <c r="A333" s="24" t="s">
        <v>109</v>
      </c>
      <c r="B333" s="30" t="s">
        <v>191</v>
      </c>
      <c r="C333" s="39" t="s">
        <v>216</v>
      </c>
      <c r="D333" s="30" t="s">
        <v>13</v>
      </c>
      <c r="E333" s="30"/>
      <c r="F333" s="45">
        <f>F339+F334+F337</f>
        <v>0</v>
      </c>
      <c r="G333" s="30"/>
      <c r="H333" s="45">
        <f>H339+H334+H337</f>
        <v>0</v>
      </c>
      <c r="I333" s="30"/>
      <c r="J333" s="45">
        <f>J339+J334+J337</f>
        <v>4159000</v>
      </c>
      <c r="K333" s="30"/>
      <c r="L333" s="45">
        <f>L339+L334+L337</f>
        <v>3822985</v>
      </c>
      <c r="M333" s="30"/>
      <c r="N333" s="45">
        <f>N339+N334+N337</f>
        <v>3922985</v>
      </c>
      <c r="O333" s="30"/>
      <c r="P333" s="45">
        <f>P339+P334+P337</f>
        <v>3922985</v>
      </c>
      <c r="R333" s="45">
        <f>R339+R334+R337</f>
        <v>1268298.47</v>
      </c>
      <c r="S333" s="117">
        <f aca="true" t="shared" si="13" ref="S333:S396">R333/P333*100</f>
        <v>32.329934221007726</v>
      </c>
    </row>
    <row r="334" spans="1:19" ht="52.5" customHeight="1">
      <c r="A334" s="1" t="s">
        <v>395</v>
      </c>
      <c r="B334" s="10" t="s">
        <v>191</v>
      </c>
      <c r="C334" s="10" t="s">
        <v>216</v>
      </c>
      <c r="D334" s="10" t="s">
        <v>396</v>
      </c>
      <c r="E334" s="10"/>
      <c r="F334" s="45">
        <f>F335+F336</f>
        <v>0</v>
      </c>
      <c r="G334" s="30"/>
      <c r="H334" s="45">
        <f>H335+H336</f>
        <v>0</v>
      </c>
      <c r="I334" s="30"/>
      <c r="J334" s="45">
        <f>J335+J336</f>
        <v>439000</v>
      </c>
      <c r="K334" s="30"/>
      <c r="L334" s="45">
        <f>L335+L336</f>
        <v>60000</v>
      </c>
      <c r="M334" s="30"/>
      <c r="N334" s="45">
        <f>N335+N336</f>
        <v>60000</v>
      </c>
      <c r="O334" s="30"/>
      <c r="P334" s="45">
        <f>P335+P336</f>
        <v>60000</v>
      </c>
      <c r="R334" s="45">
        <f>R335+R336</f>
        <v>0</v>
      </c>
      <c r="S334" s="117">
        <f t="shared" si="13"/>
        <v>0</v>
      </c>
    </row>
    <row r="335" spans="1:19" ht="54" customHeight="1" hidden="1">
      <c r="A335" s="66" t="s">
        <v>324</v>
      </c>
      <c r="B335" s="10" t="s">
        <v>191</v>
      </c>
      <c r="C335" s="10" t="s">
        <v>216</v>
      </c>
      <c r="D335" s="10" t="s">
        <v>396</v>
      </c>
      <c r="E335" s="10" t="s">
        <v>325</v>
      </c>
      <c r="F335" s="45">
        <v>0</v>
      </c>
      <c r="G335" s="30" t="s">
        <v>376</v>
      </c>
      <c r="H335" s="45">
        <f>F335+G335</f>
        <v>0</v>
      </c>
      <c r="I335" s="30" t="s">
        <v>376</v>
      </c>
      <c r="J335" s="45">
        <f>H335+I335</f>
        <v>0</v>
      </c>
      <c r="K335" s="30"/>
      <c r="L335" s="45">
        <f>J335+K335</f>
        <v>0</v>
      </c>
      <c r="M335" s="30"/>
      <c r="N335" s="45">
        <f>L335+M335</f>
        <v>0</v>
      </c>
      <c r="O335" s="30"/>
      <c r="P335" s="45">
        <f>N335+O335</f>
        <v>0</v>
      </c>
      <c r="R335" s="45">
        <f>P335+Q335</f>
        <v>0</v>
      </c>
      <c r="S335" s="117" t="e">
        <f t="shared" si="13"/>
        <v>#DIV/0!</v>
      </c>
    </row>
    <row r="336" spans="1:19" ht="31.5">
      <c r="A336" s="1" t="s">
        <v>365</v>
      </c>
      <c r="B336" s="10" t="s">
        <v>191</v>
      </c>
      <c r="C336" s="10" t="s">
        <v>216</v>
      </c>
      <c r="D336" s="10" t="s">
        <v>396</v>
      </c>
      <c r="E336" s="10" t="s">
        <v>316</v>
      </c>
      <c r="F336" s="45">
        <v>0</v>
      </c>
      <c r="G336" s="30" t="s">
        <v>376</v>
      </c>
      <c r="H336" s="45">
        <f>F336+G336</f>
        <v>0</v>
      </c>
      <c r="I336" s="30" t="s">
        <v>566</v>
      </c>
      <c r="J336" s="45">
        <f>H336+I336</f>
        <v>439000</v>
      </c>
      <c r="K336" s="30" t="s">
        <v>612</v>
      </c>
      <c r="L336" s="45">
        <f>J336+K336</f>
        <v>60000</v>
      </c>
      <c r="M336" s="30" t="s">
        <v>376</v>
      </c>
      <c r="N336" s="45">
        <f>L336+M336</f>
        <v>60000</v>
      </c>
      <c r="O336" s="30"/>
      <c r="P336" s="45">
        <f>N336+O336</f>
        <v>60000</v>
      </c>
      <c r="R336" s="45">
        <v>0</v>
      </c>
      <c r="S336" s="117">
        <f t="shared" si="13"/>
        <v>0</v>
      </c>
    </row>
    <row r="337" spans="1:19" ht="47.25">
      <c r="A337" s="1" t="s">
        <v>576</v>
      </c>
      <c r="B337" s="10" t="s">
        <v>191</v>
      </c>
      <c r="C337" s="10" t="s">
        <v>216</v>
      </c>
      <c r="D337" s="10" t="s">
        <v>408</v>
      </c>
      <c r="E337" s="10"/>
      <c r="F337" s="45">
        <f>F338</f>
        <v>0</v>
      </c>
      <c r="G337" s="30"/>
      <c r="H337" s="45">
        <f>H338</f>
        <v>0</v>
      </c>
      <c r="I337" s="30"/>
      <c r="J337" s="45">
        <f>J338</f>
        <v>3720000</v>
      </c>
      <c r="K337" s="30"/>
      <c r="L337" s="45">
        <f>L338</f>
        <v>3720000</v>
      </c>
      <c r="M337" s="30"/>
      <c r="N337" s="45">
        <f>N338</f>
        <v>3720000</v>
      </c>
      <c r="O337" s="30"/>
      <c r="P337" s="45">
        <f>P338</f>
        <v>3720000</v>
      </c>
      <c r="R337" s="45">
        <f>R338</f>
        <v>1184000</v>
      </c>
      <c r="S337" s="117">
        <f t="shared" si="13"/>
        <v>31.827956989247312</v>
      </c>
    </row>
    <row r="338" spans="1:19" ht="50.25" customHeight="1">
      <c r="A338" s="1" t="s">
        <v>369</v>
      </c>
      <c r="B338" s="10" t="s">
        <v>191</v>
      </c>
      <c r="C338" s="10" t="s">
        <v>216</v>
      </c>
      <c r="D338" s="10" t="s">
        <v>408</v>
      </c>
      <c r="E338" s="10" t="s">
        <v>368</v>
      </c>
      <c r="F338" s="45">
        <v>0</v>
      </c>
      <c r="G338" s="30" t="s">
        <v>376</v>
      </c>
      <c r="H338" s="45">
        <f>F338+G338</f>
        <v>0</v>
      </c>
      <c r="I338" s="30" t="s">
        <v>577</v>
      </c>
      <c r="J338" s="45">
        <f>H338+I338</f>
        <v>3720000</v>
      </c>
      <c r="K338" s="30"/>
      <c r="L338" s="45">
        <f>J338+K338</f>
        <v>3720000</v>
      </c>
      <c r="M338" s="30"/>
      <c r="N338" s="45">
        <f>L338+M338</f>
        <v>3720000</v>
      </c>
      <c r="O338" s="30"/>
      <c r="P338" s="45">
        <f>N338+O338</f>
        <v>3720000</v>
      </c>
      <c r="R338" s="45">
        <v>1184000</v>
      </c>
      <c r="S338" s="117">
        <f t="shared" si="13"/>
        <v>31.827956989247312</v>
      </c>
    </row>
    <row r="339" spans="1:19" ht="30" customHeight="1">
      <c r="A339" s="24" t="s">
        <v>95</v>
      </c>
      <c r="B339" s="30" t="s">
        <v>191</v>
      </c>
      <c r="C339" s="39" t="s">
        <v>216</v>
      </c>
      <c r="D339" s="30" t="s">
        <v>14</v>
      </c>
      <c r="E339" s="30"/>
      <c r="F339" s="46">
        <f>F340+F342</f>
        <v>0</v>
      </c>
      <c r="G339" s="30"/>
      <c r="H339" s="46">
        <f>H340+H342</f>
        <v>0</v>
      </c>
      <c r="I339" s="30"/>
      <c r="J339" s="46">
        <f>J340+J342</f>
        <v>0</v>
      </c>
      <c r="K339" s="30"/>
      <c r="L339" s="46">
        <f>L340+L342</f>
        <v>42985</v>
      </c>
      <c r="M339" s="30"/>
      <c r="N339" s="46">
        <f>N340+N342</f>
        <v>142985</v>
      </c>
      <c r="O339" s="30"/>
      <c r="P339" s="46">
        <f>P340+P342</f>
        <v>142985</v>
      </c>
      <c r="R339" s="46">
        <f>R340+R342</f>
        <v>84298.47</v>
      </c>
      <c r="S339" s="117">
        <f t="shared" si="13"/>
        <v>58.956163233905656</v>
      </c>
    </row>
    <row r="340" spans="1:19" ht="0.75" customHeight="1" hidden="1">
      <c r="A340" s="5" t="s">
        <v>237</v>
      </c>
      <c r="B340" s="30" t="s">
        <v>191</v>
      </c>
      <c r="C340" s="39" t="s">
        <v>216</v>
      </c>
      <c r="D340" s="30" t="s">
        <v>238</v>
      </c>
      <c r="E340" s="30"/>
      <c r="F340" s="45">
        <f>F341</f>
        <v>0</v>
      </c>
      <c r="G340" s="30"/>
      <c r="H340" s="45">
        <f>H341</f>
        <v>0</v>
      </c>
      <c r="I340" s="30"/>
      <c r="J340" s="45">
        <f>J341</f>
        <v>0</v>
      </c>
      <c r="K340" s="30"/>
      <c r="L340" s="45">
        <f>L341</f>
        <v>0</v>
      </c>
      <c r="M340" s="30"/>
      <c r="N340" s="45">
        <f>N341</f>
        <v>0</v>
      </c>
      <c r="O340" s="30"/>
      <c r="P340" s="45">
        <f>P341</f>
        <v>0</v>
      </c>
      <c r="R340" s="45">
        <f>R341</f>
        <v>0</v>
      </c>
      <c r="S340" s="117" t="e">
        <f t="shared" si="13"/>
        <v>#DIV/0!</v>
      </c>
    </row>
    <row r="341" spans="1:19" ht="30.75" customHeight="1" hidden="1">
      <c r="A341" s="3" t="s">
        <v>343</v>
      </c>
      <c r="B341" s="30" t="s">
        <v>191</v>
      </c>
      <c r="C341" s="39" t="s">
        <v>216</v>
      </c>
      <c r="D341" s="30" t="s">
        <v>238</v>
      </c>
      <c r="E341" s="30" t="s">
        <v>317</v>
      </c>
      <c r="F341" s="45">
        <v>0</v>
      </c>
      <c r="G341" s="30" t="s">
        <v>376</v>
      </c>
      <c r="H341" s="45">
        <f>F341+G341</f>
        <v>0</v>
      </c>
      <c r="I341" s="30" t="s">
        <v>376</v>
      </c>
      <c r="J341" s="45">
        <f>H341+I341</f>
        <v>0</v>
      </c>
      <c r="K341" s="30"/>
      <c r="L341" s="45">
        <f>J341+K341</f>
        <v>0</v>
      </c>
      <c r="M341" s="30"/>
      <c r="N341" s="45">
        <f>L341+M341</f>
        <v>0</v>
      </c>
      <c r="O341" s="30"/>
      <c r="P341" s="45">
        <f>N341+O341</f>
        <v>0</v>
      </c>
      <c r="R341" s="45">
        <f>P341+Q341</f>
        <v>0</v>
      </c>
      <c r="S341" s="117" t="e">
        <f t="shared" si="13"/>
        <v>#DIV/0!</v>
      </c>
    </row>
    <row r="342" spans="1:19" ht="31.5">
      <c r="A342" s="24" t="s">
        <v>142</v>
      </c>
      <c r="B342" s="30" t="s">
        <v>191</v>
      </c>
      <c r="C342" s="39" t="s">
        <v>216</v>
      </c>
      <c r="D342" s="30" t="s">
        <v>96</v>
      </c>
      <c r="E342" s="30"/>
      <c r="F342" s="45">
        <f>F343</f>
        <v>0</v>
      </c>
      <c r="G342" s="30"/>
      <c r="H342" s="45">
        <f>H343</f>
        <v>0</v>
      </c>
      <c r="I342" s="30"/>
      <c r="J342" s="45">
        <f>J343</f>
        <v>0</v>
      </c>
      <c r="K342" s="30"/>
      <c r="L342" s="45">
        <f>L343</f>
        <v>42985</v>
      </c>
      <c r="M342" s="30"/>
      <c r="N342" s="45">
        <f>N343</f>
        <v>142985</v>
      </c>
      <c r="O342" s="30"/>
      <c r="P342" s="45">
        <f>P343</f>
        <v>142985</v>
      </c>
      <c r="R342" s="45">
        <f>R343</f>
        <v>84298.47</v>
      </c>
      <c r="S342" s="117">
        <f t="shared" si="13"/>
        <v>58.956163233905656</v>
      </c>
    </row>
    <row r="343" spans="1:19" ht="32.25" customHeight="1">
      <c r="A343" s="24" t="s">
        <v>168</v>
      </c>
      <c r="B343" s="30" t="s">
        <v>191</v>
      </c>
      <c r="C343" s="39" t="s">
        <v>216</v>
      </c>
      <c r="D343" s="30" t="s">
        <v>169</v>
      </c>
      <c r="E343" s="30"/>
      <c r="F343" s="45">
        <f>F344</f>
        <v>0</v>
      </c>
      <c r="G343" s="30"/>
      <c r="H343" s="45">
        <f>H344</f>
        <v>0</v>
      </c>
      <c r="I343" s="30"/>
      <c r="J343" s="45">
        <f>J344</f>
        <v>0</v>
      </c>
      <c r="K343" s="30"/>
      <c r="L343" s="45">
        <f>L344</f>
        <v>42985</v>
      </c>
      <c r="M343" s="30"/>
      <c r="N343" s="45">
        <f>N344+N345</f>
        <v>142985</v>
      </c>
      <c r="O343" s="30"/>
      <c r="P343" s="45">
        <f>P344+P345</f>
        <v>142985</v>
      </c>
      <c r="R343" s="45">
        <f>R344+R345</f>
        <v>84298.47</v>
      </c>
      <c r="S343" s="117">
        <f t="shared" si="13"/>
        <v>58.956163233905656</v>
      </c>
    </row>
    <row r="344" spans="1:19" ht="31.5">
      <c r="A344" s="1" t="s">
        <v>319</v>
      </c>
      <c r="B344" s="30" t="s">
        <v>191</v>
      </c>
      <c r="C344" s="39" t="s">
        <v>216</v>
      </c>
      <c r="D344" s="30" t="s">
        <v>169</v>
      </c>
      <c r="E344" s="30" t="s">
        <v>348</v>
      </c>
      <c r="F344" s="45">
        <v>0</v>
      </c>
      <c r="G344" s="30" t="s">
        <v>376</v>
      </c>
      <c r="H344" s="45">
        <f>F344+G344</f>
        <v>0</v>
      </c>
      <c r="I344" s="30"/>
      <c r="J344" s="45">
        <f>H344+I344</f>
        <v>0</v>
      </c>
      <c r="K344" s="30" t="s">
        <v>649</v>
      </c>
      <c r="L344" s="45">
        <f>J344+K344</f>
        <v>42985</v>
      </c>
      <c r="M344" s="30" t="s">
        <v>376</v>
      </c>
      <c r="N344" s="45">
        <f>L344+M344</f>
        <v>42985</v>
      </c>
      <c r="O344" s="30"/>
      <c r="P344" s="45">
        <f>N344+O344</f>
        <v>42985</v>
      </c>
      <c r="R344" s="45">
        <v>4298.47</v>
      </c>
      <c r="S344" s="117">
        <f t="shared" si="13"/>
        <v>9.999930208212168</v>
      </c>
    </row>
    <row r="345" spans="1:19" ht="31.5">
      <c r="A345" s="18" t="s">
        <v>322</v>
      </c>
      <c r="B345" s="30" t="s">
        <v>191</v>
      </c>
      <c r="C345" s="39" t="s">
        <v>216</v>
      </c>
      <c r="D345" s="30" t="s">
        <v>169</v>
      </c>
      <c r="E345" s="30" t="s">
        <v>317</v>
      </c>
      <c r="F345" s="45"/>
      <c r="G345" s="30"/>
      <c r="H345" s="45"/>
      <c r="I345" s="30"/>
      <c r="J345" s="45"/>
      <c r="K345" s="30"/>
      <c r="L345" s="45"/>
      <c r="M345" s="30" t="s">
        <v>519</v>
      </c>
      <c r="N345" s="45">
        <f>L345+M345</f>
        <v>100000</v>
      </c>
      <c r="O345" s="30"/>
      <c r="P345" s="45">
        <f>N345+O345</f>
        <v>100000</v>
      </c>
      <c r="R345" s="45">
        <v>80000</v>
      </c>
      <c r="S345" s="117">
        <f t="shared" si="13"/>
        <v>80</v>
      </c>
    </row>
    <row r="346" spans="1:19" ht="31.5" customHeight="1">
      <c r="A346" s="1" t="s">
        <v>186</v>
      </c>
      <c r="B346" s="30" t="s">
        <v>191</v>
      </c>
      <c r="C346" s="10" t="s">
        <v>216</v>
      </c>
      <c r="D346" s="30" t="s">
        <v>187</v>
      </c>
      <c r="E346" s="30"/>
      <c r="F346" s="45">
        <f>F347</f>
        <v>0</v>
      </c>
      <c r="G346" s="30"/>
      <c r="H346" s="45">
        <f>H347</f>
        <v>703000</v>
      </c>
      <c r="I346" s="30"/>
      <c r="J346" s="45">
        <f>J347</f>
        <v>803000</v>
      </c>
      <c r="K346" s="30"/>
      <c r="L346" s="45">
        <f>L347</f>
        <v>803000</v>
      </c>
      <c r="M346" s="30"/>
      <c r="N346" s="45">
        <f>N347</f>
        <v>833000</v>
      </c>
      <c r="O346" s="30"/>
      <c r="P346" s="45">
        <f>P347</f>
        <v>833000</v>
      </c>
      <c r="R346" s="45">
        <f>R347</f>
        <v>410282.12</v>
      </c>
      <c r="S346" s="117">
        <f t="shared" si="13"/>
        <v>49.253555822328934</v>
      </c>
    </row>
    <row r="347" spans="1:19" ht="31.5" customHeight="1">
      <c r="A347" s="24" t="s">
        <v>188</v>
      </c>
      <c r="B347" s="30" t="s">
        <v>191</v>
      </c>
      <c r="C347" s="10" t="s">
        <v>216</v>
      </c>
      <c r="D347" s="30" t="s">
        <v>189</v>
      </c>
      <c r="E347" s="30"/>
      <c r="F347" s="45">
        <f>F348+F349+F350</f>
        <v>0</v>
      </c>
      <c r="G347" s="30"/>
      <c r="H347" s="45">
        <f>H348+H349+H350</f>
        <v>703000</v>
      </c>
      <c r="I347" s="30"/>
      <c r="J347" s="45">
        <f>J348+J349+J350</f>
        <v>803000</v>
      </c>
      <c r="K347" s="30"/>
      <c r="L347" s="45">
        <f>L348+L349+L350</f>
        <v>803000</v>
      </c>
      <c r="M347" s="30"/>
      <c r="N347" s="45">
        <f>N348+N349+N350</f>
        <v>833000</v>
      </c>
      <c r="O347" s="30"/>
      <c r="P347" s="45">
        <f>P348+P349+P350</f>
        <v>833000</v>
      </c>
      <c r="R347" s="45">
        <f>R348+R349+R350</f>
        <v>410282.12</v>
      </c>
      <c r="S347" s="117">
        <f t="shared" si="13"/>
        <v>49.253555822328934</v>
      </c>
    </row>
    <row r="348" spans="1:19" ht="17.25" customHeight="1">
      <c r="A348" s="1" t="s">
        <v>318</v>
      </c>
      <c r="B348" s="30" t="s">
        <v>191</v>
      </c>
      <c r="C348" s="10" t="s">
        <v>216</v>
      </c>
      <c r="D348" s="30" t="s">
        <v>189</v>
      </c>
      <c r="E348" s="30" t="s">
        <v>313</v>
      </c>
      <c r="F348" s="46">
        <v>0</v>
      </c>
      <c r="G348" s="30" t="s">
        <v>457</v>
      </c>
      <c r="H348" s="46">
        <f>F348+G348</f>
        <v>650126</v>
      </c>
      <c r="I348" s="30" t="s">
        <v>573</v>
      </c>
      <c r="J348" s="46">
        <f>H348+I348</f>
        <v>649258</v>
      </c>
      <c r="K348" s="30"/>
      <c r="L348" s="46">
        <f>J348+K348</f>
        <v>649258</v>
      </c>
      <c r="M348" s="30"/>
      <c r="N348" s="46">
        <f>L348+M348</f>
        <v>649258</v>
      </c>
      <c r="O348" s="30"/>
      <c r="P348" s="46">
        <f>N348+O348</f>
        <v>649258</v>
      </c>
      <c r="R348" s="46">
        <v>295795.85</v>
      </c>
      <c r="S348" s="117">
        <f t="shared" si="13"/>
        <v>45.55906126686155</v>
      </c>
    </row>
    <row r="349" spans="1:19" ht="50.25" customHeight="1">
      <c r="A349" s="1" t="s">
        <v>320</v>
      </c>
      <c r="B349" s="10" t="s">
        <v>191</v>
      </c>
      <c r="C349" s="10" t="s">
        <v>216</v>
      </c>
      <c r="D349" s="30" t="s">
        <v>189</v>
      </c>
      <c r="E349" s="10" t="s">
        <v>315</v>
      </c>
      <c r="F349" s="46">
        <v>0</v>
      </c>
      <c r="G349" s="10" t="s">
        <v>458</v>
      </c>
      <c r="H349" s="46">
        <f>F349+G349</f>
        <v>31660</v>
      </c>
      <c r="I349" s="10" t="s">
        <v>376</v>
      </c>
      <c r="J349" s="46">
        <f>H349+I349</f>
        <v>31660</v>
      </c>
      <c r="K349" s="10"/>
      <c r="L349" s="46">
        <f>J349+K349</f>
        <v>31660</v>
      </c>
      <c r="M349" s="10"/>
      <c r="N349" s="46">
        <f>L349+M349</f>
        <v>31660</v>
      </c>
      <c r="O349" s="10"/>
      <c r="P349" s="46">
        <f>N349+O349</f>
        <v>31660</v>
      </c>
      <c r="R349" s="46">
        <v>5621.56</v>
      </c>
      <c r="S349" s="117">
        <f t="shared" si="13"/>
        <v>17.756032849020848</v>
      </c>
    </row>
    <row r="350" spans="1:19" ht="33.75" customHeight="1">
      <c r="A350" s="1" t="s">
        <v>365</v>
      </c>
      <c r="B350" s="12" t="s">
        <v>191</v>
      </c>
      <c r="C350" s="10" t="s">
        <v>216</v>
      </c>
      <c r="D350" s="30" t="s">
        <v>189</v>
      </c>
      <c r="E350" s="12" t="s">
        <v>316</v>
      </c>
      <c r="F350" s="46">
        <v>0</v>
      </c>
      <c r="G350" s="12" t="s">
        <v>459</v>
      </c>
      <c r="H350" s="46">
        <f>F350+G350</f>
        <v>21214</v>
      </c>
      <c r="I350" s="12" t="s">
        <v>574</v>
      </c>
      <c r="J350" s="46">
        <f>H350+I350</f>
        <v>122082</v>
      </c>
      <c r="K350" s="12"/>
      <c r="L350" s="46">
        <f>J350+K350</f>
        <v>122082</v>
      </c>
      <c r="M350" s="12" t="s">
        <v>504</v>
      </c>
      <c r="N350" s="46">
        <f>L350+M350</f>
        <v>152082</v>
      </c>
      <c r="O350" s="12"/>
      <c r="P350" s="46">
        <f>N350+O350</f>
        <v>152082</v>
      </c>
      <c r="R350" s="46">
        <v>108864.71</v>
      </c>
      <c r="S350" s="117">
        <f t="shared" si="13"/>
        <v>71.58290264462593</v>
      </c>
    </row>
    <row r="351" spans="1:19" ht="49.5" customHeight="1">
      <c r="A351" s="1" t="s">
        <v>451</v>
      </c>
      <c r="B351" s="10" t="s">
        <v>191</v>
      </c>
      <c r="C351" s="10" t="s">
        <v>216</v>
      </c>
      <c r="D351" s="10" t="s">
        <v>302</v>
      </c>
      <c r="E351" s="10"/>
      <c r="F351" s="46"/>
      <c r="G351" s="12"/>
      <c r="H351" s="46">
        <f>H352</f>
        <v>13000</v>
      </c>
      <c r="I351" s="12"/>
      <c r="J351" s="46">
        <f>J352</f>
        <v>13000</v>
      </c>
      <c r="K351" s="12"/>
      <c r="L351" s="46">
        <f>L352</f>
        <v>13000</v>
      </c>
      <c r="M351" s="12"/>
      <c r="N351" s="46">
        <f>N352</f>
        <v>13000</v>
      </c>
      <c r="O351" s="12"/>
      <c r="P351" s="46">
        <f>P352</f>
        <v>13000</v>
      </c>
      <c r="R351" s="46">
        <f>R352</f>
        <v>0</v>
      </c>
      <c r="S351" s="117">
        <f t="shared" si="13"/>
        <v>0</v>
      </c>
    </row>
    <row r="352" spans="1:19" ht="15.75">
      <c r="A352" s="1" t="s">
        <v>327</v>
      </c>
      <c r="B352" s="10" t="s">
        <v>191</v>
      </c>
      <c r="C352" s="10" t="s">
        <v>216</v>
      </c>
      <c r="D352" s="10" t="s">
        <v>302</v>
      </c>
      <c r="E352" s="10" t="s">
        <v>326</v>
      </c>
      <c r="F352" s="46"/>
      <c r="G352" s="12" t="s">
        <v>460</v>
      </c>
      <c r="H352" s="46">
        <f>F352+G352</f>
        <v>13000</v>
      </c>
      <c r="I352" s="12" t="s">
        <v>376</v>
      </c>
      <c r="J352" s="46">
        <f>H352+I352</f>
        <v>13000</v>
      </c>
      <c r="K352" s="12"/>
      <c r="L352" s="46">
        <f>J352+K352</f>
        <v>13000</v>
      </c>
      <c r="M352" s="12"/>
      <c r="N352" s="46">
        <f>L352+M352</f>
        <v>13000</v>
      </c>
      <c r="O352" s="12"/>
      <c r="P352" s="46">
        <f>N352+O352</f>
        <v>13000</v>
      </c>
      <c r="R352" s="46">
        <v>0</v>
      </c>
      <c r="S352" s="117">
        <f t="shared" si="13"/>
        <v>0</v>
      </c>
    </row>
    <row r="353" spans="1:19" ht="63">
      <c r="A353" s="1" t="s">
        <v>461</v>
      </c>
      <c r="B353" s="10" t="s">
        <v>191</v>
      </c>
      <c r="C353" s="10" t="s">
        <v>216</v>
      </c>
      <c r="D353" s="10" t="s">
        <v>279</v>
      </c>
      <c r="E353" s="10"/>
      <c r="F353" s="46"/>
      <c r="G353" s="12"/>
      <c r="H353" s="46">
        <f>H354</f>
        <v>50000</v>
      </c>
      <c r="I353" s="12"/>
      <c r="J353" s="46">
        <f>J354</f>
        <v>50000</v>
      </c>
      <c r="K353" s="12"/>
      <c r="L353" s="46">
        <f>L354</f>
        <v>50000</v>
      </c>
      <c r="M353" s="12"/>
      <c r="N353" s="46">
        <f>N354</f>
        <v>50000</v>
      </c>
      <c r="O353" s="12"/>
      <c r="P353" s="46">
        <f>P354</f>
        <v>50000</v>
      </c>
      <c r="R353" s="46">
        <f>R354</f>
        <v>0</v>
      </c>
      <c r="S353" s="117">
        <f t="shared" si="13"/>
        <v>0</v>
      </c>
    </row>
    <row r="354" spans="1:19" ht="33.75" customHeight="1">
      <c r="A354" s="1" t="s">
        <v>365</v>
      </c>
      <c r="B354" s="10" t="s">
        <v>191</v>
      </c>
      <c r="C354" s="10" t="s">
        <v>216</v>
      </c>
      <c r="D354" s="10" t="s">
        <v>279</v>
      </c>
      <c r="E354" s="10" t="s">
        <v>316</v>
      </c>
      <c r="F354" s="46"/>
      <c r="G354" s="12" t="s">
        <v>450</v>
      </c>
      <c r="H354" s="46">
        <f>F354+G354</f>
        <v>50000</v>
      </c>
      <c r="I354" s="12" t="s">
        <v>376</v>
      </c>
      <c r="J354" s="46">
        <f>H354+I354</f>
        <v>50000</v>
      </c>
      <c r="K354" s="12"/>
      <c r="L354" s="46">
        <f>J354+K354</f>
        <v>50000</v>
      </c>
      <c r="M354" s="12"/>
      <c r="N354" s="46">
        <f>L354+M354</f>
        <v>50000</v>
      </c>
      <c r="O354" s="12"/>
      <c r="P354" s="46">
        <f>N354+O354</f>
        <v>50000</v>
      </c>
      <c r="R354" s="46">
        <v>0</v>
      </c>
      <c r="S354" s="117">
        <f t="shared" si="13"/>
        <v>0</v>
      </c>
    </row>
    <row r="355" spans="1:19" ht="15.75">
      <c r="A355" s="1" t="s">
        <v>144</v>
      </c>
      <c r="B355" s="10" t="s">
        <v>191</v>
      </c>
      <c r="C355" s="10" t="s">
        <v>20</v>
      </c>
      <c r="D355" s="10"/>
      <c r="E355" s="10"/>
      <c r="F355" s="45">
        <f>F356</f>
        <v>0</v>
      </c>
      <c r="G355" s="10"/>
      <c r="H355" s="45">
        <f>H356</f>
        <v>1740000</v>
      </c>
      <c r="I355" s="10"/>
      <c r="J355" s="45">
        <f>J356</f>
        <v>1640000</v>
      </c>
      <c r="K355" s="10"/>
      <c r="L355" s="45">
        <f>L356</f>
        <v>1640000</v>
      </c>
      <c r="M355" s="10"/>
      <c r="N355" s="45">
        <f>N356</f>
        <v>1510000</v>
      </c>
      <c r="O355" s="10"/>
      <c r="P355" s="45">
        <f>P356</f>
        <v>1510000</v>
      </c>
      <c r="R355" s="45">
        <f>R356</f>
        <v>231788.49</v>
      </c>
      <c r="S355" s="117">
        <f t="shared" si="13"/>
        <v>15.350231125827815</v>
      </c>
    </row>
    <row r="356" spans="1:19" ht="30" customHeight="1">
      <c r="A356" s="1" t="s">
        <v>146</v>
      </c>
      <c r="B356" s="10" t="s">
        <v>191</v>
      </c>
      <c r="C356" s="10" t="s">
        <v>62</v>
      </c>
      <c r="D356" s="10"/>
      <c r="E356" s="10"/>
      <c r="F356" s="45">
        <f>F357+F361+F362+F364</f>
        <v>0</v>
      </c>
      <c r="G356" s="10"/>
      <c r="H356" s="45">
        <f>H357+H361+H362+H364</f>
        <v>1740000</v>
      </c>
      <c r="I356" s="10"/>
      <c r="J356" s="45">
        <f>J357+J361+J362+J364</f>
        <v>1640000</v>
      </c>
      <c r="K356" s="10"/>
      <c r="L356" s="45">
        <f>L357+L361+L362+L364</f>
        <v>1640000</v>
      </c>
      <c r="M356" s="10"/>
      <c r="N356" s="45">
        <f>N357+N361+N362+N364</f>
        <v>1510000</v>
      </c>
      <c r="O356" s="10"/>
      <c r="P356" s="45">
        <f>P357+P361+P362+P364</f>
        <v>1510000</v>
      </c>
      <c r="R356" s="45">
        <f>R357+R361+R362+R364</f>
        <v>231788.49</v>
      </c>
      <c r="S356" s="117">
        <f t="shared" si="13"/>
        <v>15.350231125827815</v>
      </c>
    </row>
    <row r="357" spans="1:19" ht="0.75" customHeight="1" hidden="1">
      <c r="A357" s="1" t="s">
        <v>186</v>
      </c>
      <c r="B357" s="10" t="s">
        <v>191</v>
      </c>
      <c r="C357" s="10" t="s">
        <v>62</v>
      </c>
      <c r="D357" s="10" t="s">
        <v>187</v>
      </c>
      <c r="E357" s="10"/>
      <c r="F357" s="45">
        <f>F358</f>
        <v>0</v>
      </c>
      <c r="G357" s="10"/>
      <c r="H357" s="45">
        <f>H358</f>
        <v>0</v>
      </c>
      <c r="I357" s="10"/>
      <c r="J357" s="45">
        <f>J358</f>
        <v>0</v>
      </c>
      <c r="K357" s="10"/>
      <c r="L357" s="45">
        <f>L358</f>
        <v>0</v>
      </c>
      <c r="M357" s="10"/>
      <c r="N357" s="45">
        <f>N358</f>
        <v>0</v>
      </c>
      <c r="O357" s="10"/>
      <c r="P357" s="45">
        <f>P358</f>
        <v>0</v>
      </c>
      <c r="R357" s="45">
        <f>R358</f>
        <v>0</v>
      </c>
      <c r="S357" s="117" t="e">
        <f t="shared" si="13"/>
        <v>#DIV/0!</v>
      </c>
    </row>
    <row r="358" spans="1:19" ht="31.5" customHeight="1" hidden="1">
      <c r="A358" s="1" t="s">
        <v>188</v>
      </c>
      <c r="B358" s="10" t="s">
        <v>191</v>
      </c>
      <c r="C358" s="10" t="s">
        <v>62</v>
      </c>
      <c r="D358" s="10" t="s">
        <v>189</v>
      </c>
      <c r="E358" s="10"/>
      <c r="F358" s="45">
        <f>F359</f>
        <v>0</v>
      </c>
      <c r="G358" s="10"/>
      <c r="H358" s="45">
        <f>H359</f>
        <v>0</v>
      </c>
      <c r="I358" s="10"/>
      <c r="J358" s="45">
        <f>J359</f>
        <v>0</v>
      </c>
      <c r="K358" s="10"/>
      <c r="L358" s="45">
        <f>L359</f>
        <v>0</v>
      </c>
      <c r="M358" s="10"/>
      <c r="N358" s="45">
        <f>N359</f>
        <v>0</v>
      </c>
      <c r="O358" s="10"/>
      <c r="P358" s="45">
        <f>P359</f>
        <v>0</v>
      </c>
      <c r="R358" s="45">
        <f>R359</f>
        <v>0</v>
      </c>
      <c r="S358" s="117" t="e">
        <f t="shared" si="13"/>
        <v>#DIV/0!</v>
      </c>
    </row>
    <row r="359" spans="1:19" ht="32.25" customHeight="1" hidden="1">
      <c r="A359" s="1" t="s">
        <v>365</v>
      </c>
      <c r="B359" s="10" t="s">
        <v>191</v>
      </c>
      <c r="C359" s="10" t="s">
        <v>62</v>
      </c>
      <c r="D359" s="10" t="s">
        <v>189</v>
      </c>
      <c r="E359" s="10" t="s">
        <v>316</v>
      </c>
      <c r="F359" s="45">
        <v>0</v>
      </c>
      <c r="G359" s="10"/>
      <c r="H359" s="45">
        <f>F359+G359</f>
        <v>0</v>
      </c>
      <c r="I359" s="10"/>
      <c r="J359" s="45">
        <f>H359+I359</f>
        <v>0</v>
      </c>
      <c r="K359" s="10"/>
      <c r="L359" s="45">
        <f>J359+K359</f>
        <v>0</v>
      </c>
      <c r="M359" s="10"/>
      <c r="N359" s="45">
        <f>L359+M359</f>
        <v>0</v>
      </c>
      <c r="O359" s="10"/>
      <c r="P359" s="45">
        <f>N359+O359</f>
        <v>0</v>
      </c>
      <c r="R359" s="45">
        <f>P359+Q359</f>
        <v>0</v>
      </c>
      <c r="S359" s="117" t="e">
        <f t="shared" si="13"/>
        <v>#DIV/0!</v>
      </c>
    </row>
    <row r="360" spans="1:19" ht="3.75" customHeight="1" hidden="1">
      <c r="A360" s="3" t="s">
        <v>193</v>
      </c>
      <c r="B360" s="10" t="s">
        <v>191</v>
      </c>
      <c r="C360" s="10" t="s">
        <v>62</v>
      </c>
      <c r="D360" s="10" t="s">
        <v>192</v>
      </c>
      <c r="E360" s="10"/>
      <c r="F360" s="45">
        <f>F361</f>
        <v>0</v>
      </c>
      <c r="G360" s="10"/>
      <c r="H360" s="45">
        <f>H361</f>
        <v>0</v>
      </c>
      <c r="I360" s="10"/>
      <c r="J360" s="45">
        <f>J361</f>
        <v>0</v>
      </c>
      <c r="K360" s="10"/>
      <c r="L360" s="45">
        <f>L361</f>
        <v>0</v>
      </c>
      <c r="M360" s="10"/>
      <c r="N360" s="45">
        <f>N361</f>
        <v>0</v>
      </c>
      <c r="O360" s="10"/>
      <c r="P360" s="45">
        <f>P361</f>
        <v>0</v>
      </c>
      <c r="R360" s="45">
        <f>R361</f>
        <v>0</v>
      </c>
      <c r="S360" s="117" t="e">
        <f t="shared" si="13"/>
        <v>#DIV/0!</v>
      </c>
    </row>
    <row r="361" spans="1:19" ht="0.75" customHeight="1" hidden="1">
      <c r="A361" s="55" t="s">
        <v>71</v>
      </c>
      <c r="B361" s="54" t="s">
        <v>191</v>
      </c>
      <c r="C361" s="54" t="s">
        <v>62</v>
      </c>
      <c r="D361" s="54" t="s">
        <v>192</v>
      </c>
      <c r="E361" s="54" t="s">
        <v>72</v>
      </c>
      <c r="F361" s="50">
        <v>0</v>
      </c>
      <c r="G361" s="54"/>
      <c r="H361" s="50">
        <v>0</v>
      </c>
      <c r="I361" s="54"/>
      <c r="J361" s="50">
        <v>0</v>
      </c>
      <c r="K361" s="54"/>
      <c r="L361" s="50">
        <v>0</v>
      </c>
      <c r="M361" s="54"/>
      <c r="N361" s="50">
        <v>0</v>
      </c>
      <c r="O361" s="54"/>
      <c r="P361" s="50">
        <v>0</v>
      </c>
      <c r="R361" s="50">
        <v>0</v>
      </c>
      <c r="S361" s="117" t="e">
        <f t="shared" si="13"/>
        <v>#DIV/0!</v>
      </c>
    </row>
    <row r="362" spans="1:19" ht="31.5" hidden="1">
      <c r="A362" s="1" t="s">
        <v>198</v>
      </c>
      <c r="B362" s="10" t="s">
        <v>191</v>
      </c>
      <c r="C362" s="10" t="s">
        <v>62</v>
      </c>
      <c r="D362" s="10" t="s">
        <v>239</v>
      </c>
      <c r="E362" s="10"/>
      <c r="F362" s="45">
        <f>F363</f>
        <v>0</v>
      </c>
      <c r="G362" s="10"/>
      <c r="H362" s="45">
        <f>H363</f>
        <v>0</v>
      </c>
      <c r="I362" s="10"/>
      <c r="J362" s="45">
        <f>J363</f>
        <v>0</v>
      </c>
      <c r="K362" s="10"/>
      <c r="L362" s="45">
        <f>L363</f>
        <v>0</v>
      </c>
      <c r="M362" s="10"/>
      <c r="N362" s="45">
        <f>N363</f>
        <v>0</v>
      </c>
      <c r="O362" s="10"/>
      <c r="P362" s="45">
        <f>P363</f>
        <v>0</v>
      </c>
      <c r="R362" s="45">
        <f>R363</f>
        <v>0</v>
      </c>
      <c r="S362" s="117" t="e">
        <f t="shared" si="13"/>
        <v>#DIV/0!</v>
      </c>
    </row>
    <row r="363" spans="1:19" ht="18.75" customHeight="1" hidden="1">
      <c r="A363" s="55" t="s">
        <v>41</v>
      </c>
      <c r="B363" s="54" t="s">
        <v>191</v>
      </c>
      <c r="C363" s="54" t="s">
        <v>62</v>
      </c>
      <c r="D363" s="54" t="s">
        <v>239</v>
      </c>
      <c r="E363" s="54" t="s">
        <v>42</v>
      </c>
      <c r="F363" s="50"/>
      <c r="G363" s="54"/>
      <c r="H363" s="50"/>
      <c r="I363" s="54"/>
      <c r="J363" s="50"/>
      <c r="K363" s="54"/>
      <c r="L363" s="50"/>
      <c r="M363" s="54"/>
      <c r="N363" s="50"/>
      <c r="O363" s="54"/>
      <c r="P363" s="50"/>
      <c r="R363" s="50"/>
      <c r="S363" s="117" t="e">
        <f t="shared" si="13"/>
        <v>#DIV/0!</v>
      </c>
    </row>
    <row r="364" spans="1:19" ht="47.25">
      <c r="A364" s="1" t="s">
        <v>555</v>
      </c>
      <c r="B364" s="10" t="s">
        <v>191</v>
      </c>
      <c r="C364" s="10" t="s">
        <v>62</v>
      </c>
      <c r="D364" s="10" t="s">
        <v>263</v>
      </c>
      <c r="E364" s="10"/>
      <c r="F364" s="45">
        <f>F365</f>
        <v>0</v>
      </c>
      <c r="G364" s="10"/>
      <c r="H364" s="45">
        <f>H365</f>
        <v>1740000</v>
      </c>
      <c r="I364" s="10"/>
      <c r="J364" s="45">
        <f>J365</f>
        <v>1640000</v>
      </c>
      <c r="K364" s="10"/>
      <c r="L364" s="45">
        <f>L365</f>
        <v>1640000</v>
      </c>
      <c r="M364" s="10"/>
      <c r="N364" s="45">
        <f>N365</f>
        <v>1510000</v>
      </c>
      <c r="O364" s="10"/>
      <c r="P364" s="45">
        <f>P365</f>
        <v>1510000</v>
      </c>
      <c r="R364" s="45">
        <f>R365</f>
        <v>231788.49</v>
      </c>
      <c r="S364" s="117">
        <f t="shared" si="13"/>
        <v>15.350231125827815</v>
      </c>
    </row>
    <row r="365" spans="1:19" ht="30.75" customHeight="1">
      <c r="A365" s="1" t="s">
        <v>365</v>
      </c>
      <c r="B365" s="10" t="s">
        <v>191</v>
      </c>
      <c r="C365" s="10" t="s">
        <v>62</v>
      </c>
      <c r="D365" s="10" t="s">
        <v>263</v>
      </c>
      <c r="E365" s="10" t="s">
        <v>316</v>
      </c>
      <c r="F365" s="45">
        <v>0</v>
      </c>
      <c r="G365" s="10" t="s">
        <v>462</v>
      </c>
      <c r="H365" s="45">
        <f>F365+G365</f>
        <v>1740000</v>
      </c>
      <c r="I365" s="10" t="s">
        <v>563</v>
      </c>
      <c r="J365" s="45">
        <f>H365+I365</f>
        <v>1640000</v>
      </c>
      <c r="K365" s="10"/>
      <c r="L365" s="45">
        <f>J365+K365</f>
        <v>1640000</v>
      </c>
      <c r="M365" s="68">
        <f>-100000-30000</f>
        <v>-130000</v>
      </c>
      <c r="N365" s="45">
        <f>L365+M365</f>
        <v>1510000</v>
      </c>
      <c r="O365" s="68"/>
      <c r="P365" s="45">
        <f>N365+O365</f>
        <v>1510000</v>
      </c>
      <c r="R365" s="45">
        <v>231788.49</v>
      </c>
      <c r="S365" s="117">
        <f t="shared" si="13"/>
        <v>15.350231125827815</v>
      </c>
    </row>
    <row r="366" spans="1:19" ht="15.75" hidden="1">
      <c r="A366" s="3" t="s">
        <v>147</v>
      </c>
      <c r="B366" s="10" t="s">
        <v>191</v>
      </c>
      <c r="C366" s="10" t="s">
        <v>23</v>
      </c>
      <c r="D366" s="10"/>
      <c r="E366" s="10"/>
      <c r="F366" s="45">
        <f>F367+F372</f>
        <v>0</v>
      </c>
      <c r="G366" s="10"/>
      <c r="H366" s="45">
        <f>H367+H372</f>
        <v>0</v>
      </c>
      <c r="I366" s="10"/>
      <c r="J366" s="45">
        <f>J367+J372</f>
        <v>0</v>
      </c>
      <c r="K366" s="10"/>
      <c r="L366" s="45">
        <f>L367+L372</f>
        <v>0</v>
      </c>
      <c r="M366" s="10"/>
      <c r="N366" s="45">
        <f>N367+N372</f>
        <v>0</v>
      </c>
      <c r="O366" s="10"/>
      <c r="P366" s="45">
        <f>P367+P372</f>
        <v>0</v>
      </c>
      <c r="R366" s="45">
        <f>R367+R372</f>
        <v>0</v>
      </c>
      <c r="S366" s="117" t="e">
        <f t="shared" si="13"/>
        <v>#DIV/0!</v>
      </c>
    </row>
    <row r="367" spans="1:19" ht="15.75" customHeight="1" hidden="1">
      <c r="A367" s="3" t="s">
        <v>148</v>
      </c>
      <c r="B367" s="10" t="s">
        <v>191</v>
      </c>
      <c r="C367" s="10" t="s">
        <v>24</v>
      </c>
      <c r="D367" s="10"/>
      <c r="E367" s="10"/>
      <c r="F367" s="45">
        <f>F368+F370+F375</f>
        <v>0</v>
      </c>
      <c r="G367" s="10"/>
      <c r="H367" s="45">
        <f>H368+H370+H375</f>
        <v>0</v>
      </c>
      <c r="I367" s="10"/>
      <c r="J367" s="45">
        <f>J368+J370+J375</f>
        <v>0</v>
      </c>
      <c r="K367" s="10"/>
      <c r="L367" s="45">
        <f>L368+L370+L375</f>
        <v>0</v>
      </c>
      <c r="M367" s="10"/>
      <c r="N367" s="45">
        <f>N368+N370+N375</f>
        <v>0</v>
      </c>
      <c r="O367" s="10"/>
      <c r="P367" s="45">
        <f>P368+P370+P375</f>
        <v>0</v>
      </c>
      <c r="R367" s="45">
        <f>R368+R370+R375</f>
        <v>0</v>
      </c>
      <c r="S367" s="117" t="e">
        <f t="shared" si="13"/>
        <v>#DIV/0!</v>
      </c>
    </row>
    <row r="368" spans="1:19" ht="36" customHeight="1" hidden="1">
      <c r="A368" s="25" t="s">
        <v>201</v>
      </c>
      <c r="B368" s="29" t="s">
        <v>191</v>
      </c>
      <c r="C368" s="29" t="s">
        <v>24</v>
      </c>
      <c r="D368" s="29" t="s">
        <v>203</v>
      </c>
      <c r="E368" s="29"/>
      <c r="F368" s="45">
        <f>F369</f>
        <v>0</v>
      </c>
      <c r="G368" s="29"/>
      <c r="H368" s="45">
        <f>H369</f>
        <v>0</v>
      </c>
      <c r="I368" s="29"/>
      <c r="J368" s="45">
        <f>J369</f>
        <v>0</v>
      </c>
      <c r="K368" s="29"/>
      <c r="L368" s="45">
        <f>L369</f>
        <v>0</v>
      </c>
      <c r="M368" s="29"/>
      <c r="N368" s="45">
        <f>N369</f>
        <v>0</v>
      </c>
      <c r="O368" s="29"/>
      <c r="P368" s="45">
        <f>P369</f>
        <v>0</v>
      </c>
      <c r="R368" s="45">
        <f>R369</f>
        <v>0</v>
      </c>
      <c r="S368" s="117" t="e">
        <f t="shared" si="13"/>
        <v>#DIV/0!</v>
      </c>
    </row>
    <row r="369" spans="1:19" ht="34.5" customHeight="1" hidden="1">
      <c r="A369" s="3" t="s">
        <v>359</v>
      </c>
      <c r="B369" s="29" t="s">
        <v>191</v>
      </c>
      <c r="C369" s="29" t="s">
        <v>24</v>
      </c>
      <c r="D369" s="29" t="s">
        <v>203</v>
      </c>
      <c r="E369" s="29" t="s">
        <v>358</v>
      </c>
      <c r="F369" s="45">
        <v>0</v>
      </c>
      <c r="G369" s="29" t="s">
        <v>376</v>
      </c>
      <c r="H369" s="45">
        <f>F369+G369</f>
        <v>0</v>
      </c>
      <c r="I369" s="29" t="s">
        <v>376</v>
      </c>
      <c r="J369" s="45">
        <f>H369+I369</f>
        <v>0</v>
      </c>
      <c r="K369" s="29"/>
      <c r="L369" s="45">
        <f>J369+K369</f>
        <v>0</v>
      </c>
      <c r="M369" s="29"/>
      <c r="N369" s="45">
        <f>L369+M369</f>
        <v>0</v>
      </c>
      <c r="O369" s="29"/>
      <c r="P369" s="45">
        <f>N369+O369</f>
        <v>0</v>
      </c>
      <c r="R369" s="45">
        <f>P369+Q369</f>
        <v>0</v>
      </c>
      <c r="S369" s="117" t="e">
        <f t="shared" si="13"/>
        <v>#DIV/0!</v>
      </c>
    </row>
    <row r="370" spans="1:19" ht="63" hidden="1">
      <c r="A370" s="3" t="s">
        <v>178</v>
      </c>
      <c r="B370" s="10" t="s">
        <v>191</v>
      </c>
      <c r="C370" s="10" t="s">
        <v>24</v>
      </c>
      <c r="D370" s="10" t="s">
        <v>289</v>
      </c>
      <c r="E370" s="10"/>
      <c r="F370" s="46">
        <f>F371</f>
        <v>0</v>
      </c>
      <c r="G370" s="10"/>
      <c r="H370" s="46">
        <f>H371</f>
        <v>0</v>
      </c>
      <c r="I370" s="10"/>
      <c r="J370" s="46">
        <f>J371</f>
        <v>0</v>
      </c>
      <c r="K370" s="10"/>
      <c r="L370" s="46">
        <f>L371</f>
        <v>0</v>
      </c>
      <c r="M370" s="10"/>
      <c r="N370" s="46">
        <f>N371</f>
        <v>0</v>
      </c>
      <c r="O370" s="10"/>
      <c r="P370" s="46">
        <f>P371</f>
        <v>0</v>
      </c>
      <c r="R370" s="46">
        <f>R371</f>
        <v>0</v>
      </c>
      <c r="S370" s="117" t="e">
        <f t="shared" si="13"/>
        <v>#DIV/0!</v>
      </c>
    </row>
    <row r="371" spans="1:19" ht="34.5" customHeight="1" hidden="1">
      <c r="A371" s="3" t="s">
        <v>359</v>
      </c>
      <c r="B371" s="10" t="s">
        <v>191</v>
      </c>
      <c r="C371" s="10" t="s">
        <v>24</v>
      </c>
      <c r="D371" s="10" t="s">
        <v>289</v>
      </c>
      <c r="E371" s="10" t="s">
        <v>358</v>
      </c>
      <c r="F371" s="46">
        <v>0</v>
      </c>
      <c r="G371" s="10" t="s">
        <v>376</v>
      </c>
      <c r="H371" s="46">
        <f>F371+G371</f>
        <v>0</v>
      </c>
      <c r="I371" s="10" t="s">
        <v>376</v>
      </c>
      <c r="J371" s="46">
        <f>H371+I371</f>
        <v>0</v>
      </c>
      <c r="K371" s="10"/>
      <c r="L371" s="46">
        <f>J371+K371</f>
        <v>0</v>
      </c>
      <c r="M371" s="10"/>
      <c r="N371" s="46">
        <f>L371+M371</f>
        <v>0</v>
      </c>
      <c r="O371" s="10"/>
      <c r="P371" s="46">
        <f>N371+O371</f>
        <v>0</v>
      </c>
      <c r="R371" s="46">
        <f>P371+Q371</f>
        <v>0</v>
      </c>
      <c r="S371" s="117" t="e">
        <f t="shared" si="13"/>
        <v>#DIV/0!</v>
      </c>
    </row>
    <row r="372" spans="1:19" ht="42" customHeight="1" hidden="1">
      <c r="A372" s="3" t="s">
        <v>44</v>
      </c>
      <c r="B372" s="10" t="s">
        <v>191</v>
      </c>
      <c r="C372" s="10" t="s">
        <v>43</v>
      </c>
      <c r="D372" s="10"/>
      <c r="E372" s="10"/>
      <c r="F372" s="45">
        <f>F373</f>
        <v>0</v>
      </c>
      <c r="G372" s="10"/>
      <c r="H372" s="45">
        <f>H373</f>
        <v>0</v>
      </c>
      <c r="I372" s="10"/>
      <c r="J372" s="45">
        <f>J373</f>
        <v>0</v>
      </c>
      <c r="K372" s="10"/>
      <c r="L372" s="45">
        <f>L373</f>
        <v>0</v>
      </c>
      <c r="M372" s="10"/>
      <c r="N372" s="45">
        <f>N373</f>
        <v>0</v>
      </c>
      <c r="O372" s="10"/>
      <c r="P372" s="45">
        <f>P373</f>
        <v>0</v>
      </c>
      <c r="R372" s="45">
        <f>R373</f>
        <v>0</v>
      </c>
      <c r="S372" s="117" t="e">
        <f t="shared" si="13"/>
        <v>#DIV/0!</v>
      </c>
    </row>
    <row r="373" spans="1:19" ht="94.5" hidden="1">
      <c r="A373" s="3" t="s">
        <v>193</v>
      </c>
      <c r="B373" s="10" t="s">
        <v>191</v>
      </c>
      <c r="C373" s="10" t="s">
        <v>43</v>
      </c>
      <c r="D373" s="10" t="s">
        <v>192</v>
      </c>
      <c r="E373" s="10"/>
      <c r="F373" s="45">
        <f>F374</f>
        <v>0</v>
      </c>
      <c r="G373" s="10"/>
      <c r="H373" s="45">
        <f>H374</f>
        <v>0</v>
      </c>
      <c r="I373" s="10"/>
      <c r="J373" s="45">
        <f>J374</f>
        <v>0</v>
      </c>
      <c r="K373" s="10"/>
      <c r="L373" s="45">
        <f>L374</f>
        <v>0</v>
      </c>
      <c r="M373" s="10"/>
      <c r="N373" s="45">
        <f>N374</f>
        <v>0</v>
      </c>
      <c r="O373" s="10"/>
      <c r="P373" s="45">
        <f>P374</f>
        <v>0</v>
      </c>
      <c r="R373" s="45">
        <f>R374</f>
        <v>0</v>
      </c>
      <c r="S373" s="117" t="e">
        <f t="shared" si="13"/>
        <v>#DIV/0!</v>
      </c>
    </row>
    <row r="374" spans="1:19" ht="68.25" customHeight="1" hidden="1">
      <c r="A374" s="3" t="s">
        <v>71</v>
      </c>
      <c r="B374" s="10" t="s">
        <v>191</v>
      </c>
      <c r="C374" s="10" t="s">
        <v>43</v>
      </c>
      <c r="D374" s="10" t="s">
        <v>192</v>
      </c>
      <c r="E374" s="10" t="s">
        <v>72</v>
      </c>
      <c r="F374" s="45">
        <v>0</v>
      </c>
      <c r="G374" s="10"/>
      <c r="H374" s="45">
        <v>0</v>
      </c>
      <c r="I374" s="10"/>
      <c r="J374" s="45">
        <v>0</v>
      </c>
      <c r="K374" s="10"/>
      <c r="L374" s="45">
        <v>0</v>
      </c>
      <c r="M374" s="10"/>
      <c r="N374" s="45">
        <v>0</v>
      </c>
      <c r="O374" s="10"/>
      <c r="P374" s="45">
        <v>0</v>
      </c>
      <c r="R374" s="45">
        <v>0</v>
      </c>
      <c r="S374" s="117" t="e">
        <f t="shared" si="13"/>
        <v>#DIV/0!</v>
      </c>
    </row>
    <row r="375" spans="1:19" ht="98.25" customHeight="1" hidden="1">
      <c r="A375" s="1" t="s">
        <v>298</v>
      </c>
      <c r="B375" s="10" t="s">
        <v>191</v>
      </c>
      <c r="C375" s="10" t="s">
        <v>24</v>
      </c>
      <c r="D375" s="10" t="s">
        <v>264</v>
      </c>
      <c r="E375" s="10"/>
      <c r="F375" s="45">
        <f>F376</f>
        <v>0</v>
      </c>
      <c r="G375" s="10"/>
      <c r="H375" s="45">
        <f>H376</f>
        <v>0</v>
      </c>
      <c r="I375" s="10"/>
      <c r="J375" s="45">
        <f>J376</f>
        <v>0</v>
      </c>
      <c r="K375" s="10"/>
      <c r="L375" s="45">
        <f>L376</f>
        <v>0</v>
      </c>
      <c r="M375" s="10"/>
      <c r="N375" s="45">
        <f>N376</f>
        <v>0</v>
      </c>
      <c r="O375" s="10"/>
      <c r="P375" s="45">
        <f>P376</f>
        <v>0</v>
      </c>
      <c r="R375" s="45">
        <f>R376</f>
        <v>0</v>
      </c>
      <c r="S375" s="117" t="e">
        <f t="shared" si="13"/>
        <v>#DIV/0!</v>
      </c>
    </row>
    <row r="376" spans="1:19" ht="31.5" customHeight="1" hidden="1">
      <c r="A376" s="3" t="s">
        <v>359</v>
      </c>
      <c r="B376" s="10" t="s">
        <v>191</v>
      </c>
      <c r="C376" s="10" t="s">
        <v>24</v>
      </c>
      <c r="D376" s="10" t="s">
        <v>264</v>
      </c>
      <c r="E376" s="10" t="s">
        <v>358</v>
      </c>
      <c r="F376" s="45">
        <v>0</v>
      </c>
      <c r="G376" s="10" t="s">
        <v>376</v>
      </c>
      <c r="H376" s="45">
        <f>F376+G376</f>
        <v>0</v>
      </c>
      <c r="I376" s="10" t="s">
        <v>376</v>
      </c>
      <c r="J376" s="45">
        <f>H376+I376</f>
        <v>0</v>
      </c>
      <c r="K376" s="10"/>
      <c r="L376" s="45">
        <f>J376+K376</f>
        <v>0</v>
      </c>
      <c r="M376" s="10"/>
      <c r="N376" s="45">
        <f>L376+M376</f>
        <v>0</v>
      </c>
      <c r="O376" s="10"/>
      <c r="P376" s="45">
        <f>N376+O376</f>
        <v>0</v>
      </c>
      <c r="R376" s="45">
        <f>P376+Q376</f>
        <v>0</v>
      </c>
      <c r="S376" s="117" t="e">
        <f t="shared" si="13"/>
        <v>#DIV/0!</v>
      </c>
    </row>
    <row r="377" spans="1:19" ht="34.5" customHeight="1">
      <c r="A377" s="20" t="s">
        <v>196</v>
      </c>
      <c r="B377" s="16" t="s">
        <v>114</v>
      </c>
      <c r="C377" s="10"/>
      <c r="D377" s="10"/>
      <c r="E377" s="10"/>
      <c r="F377" s="42" t="e">
        <f>F378+F536</f>
        <v>#REF!</v>
      </c>
      <c r="G377" s="10"/>
      <c r="H377" s="42">
        <f>H378+H536</f>
        <v>481438020</v>
      </c>
      <c r="I377" s="10"/>
      <c r="J377" s="42">
        <f>J378+J536</f>
        <v>482005520</v>
      </c>
      <c r="K377" s="10"/>
      <c r="L377" s="42">
        <f>L378+L536</f>
        <v>487035488</v>
      </c>
      <c r="M377" s="10"/>
      <c r="N377" s="42">
        <f>N378+N536</f>
        <v>504765719.13</v>
      </c>
      <c r="O377" s="10"/>
      <c r="P377" s="42">
        <f>P378+P536</f>
        <v>573610619.13</v>
      </c>
      <c r="Q377" s="99">
        <f>P377-N377</f>
        <v>68844900</v>
      </c>
      <c r="R377" s="42">
        <f>R378+R536</f>
        <v>217159206.32</v>
      </c>
      <c r="S377" s="118">
        <f t="shared" si="13"/>
        <v>37.85829604224677</v>
      </c>
    </row>
    <row r="378" spans="1:19" ht="15.75">
      <c r="A378" s="1" t="s">
        <v>151</v>
      </c>
      <c r="B378" s="10" t="s">
        <v>114</v>
      </c>
      <c r="C378" s="10" t="s">
        <v>27</v>
      </c>
      <c r="D378" s="10"/>
      <c r="E378" s="10"/>
      <c r="F378" s="45" t="e">
        <f>F379+F412+F472+F493</f>
        <v>#REF!</v>
      </c>
      <c r="G378" s="10"/>
      <c r="H378" s="45">
        <f>H379+H412+H472+H493</f>
        <v>481328220</v>
      </c>
      <c r="I378" s="10"/>
      <c r="J378" s="45">
        <f>J379+J412+J472+J493</f>
        <v>481895720</v>
      </c>
      <c r="K378" s="10"/>
      <c r="L378" s="45">
        <f>L379+L412+L472+L493</f>
        <v>486925688</v>
      </c>
      <c r="M378" s="10"/>
      <c r="N378" s="45">
        <f>N379+N412+N472+N493</f>
        <v>504655919.13</v>
      </c>
      <c r="O378" s="10"/>
      <c r="P378" s="45">
        <f>P379+P412+P472+P493</f>
        <v>573500819.13</v>
      </c>
      <c r="R378" s="45">
        <f>R379+R412+R472+R493</f>
        <v>217111448.82</v>
      </c>
      <c r="S378" s="117">
        <f t="shared" si="13"/>
        <v>37.85721686489616</v>
      </c>
    </row>
    <row r="379" spans="1:19" ht="17.25" customHeight="1">
      <c r="A379" s="3" t="s">
        <v>115</v>
      </c>
      <c r="B379" s="10" t="s">
        <v>114</v>
      </c>
      <c r="C379" s="10" t="s">
        <v>116</v>
      </c>
      <c r="D379" s="10"/>
      <c r="E379" s="10"/>
      <c r="F379" s="45" t="e">
        <f>F382+F396+#REF!+#REF!+#REF!</f>
        <v>#REF!</v>
      </c>
      <c r="G379" s="10"/>
      <c r="H379" s="45">
        <f>H382+H396</f>
        <v>114025259</v>
      </c>
      <c r="I379" s="10"/>
      <c r="J379" s="45">
        <f>J382+J396</f>
        <v>129423356</v>
      </c>
      <c r="K379" s="10"/>
      <c r="L379" s="45">
        <f>L382+L396+L406</f>
        <v>128368155</v>
      </c>
      <c r="M379" s="10"/>
      <c r="N379" s="45">
        <f>N382+N396+N406+N380</f>
        <v>126825253.39</v>
      </c>
      <c r="O379" s="10"/>
      <c r="P379" s="45">
        <f>P382+P396+P406+P380+P409</f>
        <v>179614199.16</v>
      </c>
      <c r="R379" s="45">
        <f>R382+R396+R406+R380+R409</f>
        <v>58053676.34</v>
      </c>
      <c r="S379" s="117">
        <f t="shared" si="13"/>
        <v>32.32131792001917</v>
      </c>
    </row>
    <row r="380" spans="1:19" s="96" customFormat="1" ht="15.75">
      <c r="A380" s="32" t="s">
        <v>666</v>
      </c>
      <c r="B380" s="10" t="s">
        <v>114</v>
      </c>
      <c r="C380" s="10" t="s">
        <v>116</v>
      </c>
      <c r="D380" s="10" t="s">
        <v>212</v>
      </c>
      <c r="E380" s="10"/>
      <c r="F380" s="71"/>
      <c r="G380" s="10"/>
      <c r="H380" s="71"/>
      <c r="I380" s="10"/>
      <c r="J380" s="71"/>
      <c r="K380" s="10"/>
      <c r="L380" s="71"/>
      <c r="M380" s="10"/>
      <c r="N380" s="71">
        <f>N381</f>
        <v>100000</v>
      </c>
      <c r="O380" s="10"/>
      <c r="P380" s="71">
        <f>P381</f>
        <v>100000</v>
      </c>
      <c r="R380" s="71">
        <f>R381</f>
        <v>0</v>
      </c>
      <c r="S380" s="117">
        <f t="shared" si="13"/>
        <v>0</v>
      </c>
    </row>
    <row r="381" spans="1:19" s="96" customFormat="1" ht="33.75" customHeight="1">
      <c r="A381" s="67" t="s">
        <v>321</v>
      </c>
      <c r="B381" s="10" t="s">
        <v>114</v>
      </c>
      <c r="C381" s="10" t="s">
        <v>116</v>
      </c>
      <c r="D381" s="10" t="s">
        <v>212</v>
      </c>
      <c r="E381" s="10" t="s">
        <v>316</v>
      </c>
      <c r="F381" s="71"/>
      <c r="G381" s="10"/>
      <c r="H381" s="71"/>
      <c r="I381" s="10"/>
      <c r="J381" s="71"/>
      <c r="K381" s="10"/>
      <c r="L381" s="71"/>
      <c r="M381" s="10" t="s">
        <v>519</v>
      </c>
      <c r="N381" s="71">
        <f>L381+M381</f>
        <v>100000</v>
      </c>
      <c r="O381" s="10"/>
      <c r="P381" s="71">
        <f>N381+O381</f>
        <v>100000</v>
      </c>
      <c r="R381" s="71">
        <v>0</v>
      </c>
      <c r="S381" s="117">
        <f t="shared" si="13"/>
        <v>0</v>
      </c>
    </row>
    <row r="382" spans="1:19" ht="18.75" customHeight="1">
      <c r="A382" s="3" t="s">
        <v>117</v>
      </c>
      <c r="B382" s="10" t="s">
        <v>114</v>
      </c>
      <c r="C382" s="10" t="s">
        <v>116</v>
      </c>
      <c r="D382" s="10" t="s">
        <v>118</v>
      </c>
      <c r="E382" s="10"/>
      <c r="F382" s="45">
        <f>F383+F392</f>
        <v>0</v>
      </c>
      <c r="G382" s="10"/>
      <c r="H382" s="45">
        <f>H383+H392</f>
        <v>114025259</v>
      </c>
      <c r="I382" s="10"/>
      <c r="J382" s="45">
        <f>J383+J392</f>
        <v>129423356</v>
      </c>
      <c r="K382" s="10"/>
      <c r="L382" s="45">
        <f>L383+L390+L392+L394</f>
        <v>127736155</v>
      </c>
      <c r="M382" s="10"/>
      <c r="N382" s="45">
        <f>N383+N390+N392+N394</f>
        <v>126093253.39</v>
      </c>
      <c r="O382" s="10"/>
      <c r="P382" s="45">
        <f>P383+P390+P392+P394</f>
        <v>125886727.16</v>
      </c>
      <c r="R382" s="45">
        <f>R383+R390+R392+R394</f>
        <v>57606270.74</v>
      </c>
      <c r="S382" s="117">
        <f t="shared" si="13"/>
        <v>45.76040067098048</v>
      </c>
    </row>
    <row r="383" spans="1:19" ht="33.75" customHeight="1">
      <c r="A383" s="1" t="s">
        <v>153</v>
      </c>
      <c r="B383" s="10" t="s">
        <v>114</v>
      </c>
      <c r="C383" s="10" t="s">
        <v>116</v>
      </c>
      <c r="D383" s="10" t="s">
        <v>118</v>
      </c>
      <c r="E383" s="10"/>
      <c r="F383" s="45">
        <f>F384+F385+F386+F388+F389+F387+F390</f>
        <v>0</v>
      </c>
      <c r="G383" s="10"/>
      <c r="H383" s="45">
        <f>H384+H385+H386+H388+H389+H387+H390</f>
        <v>101722659</v>
      </c>
      <c r="I383" s="10"/>
      <c r="J383" s="45">
        <f>J384+J385+J386+J388+J389+J387+J390</f>
        <v>117120756</v>
      </c>
      <c r="K383" s="10"/>
      <c r="L383" s="45">
        <f>L384+L385+L386+L388+L389+L387</f>
        <v>106322543</v>
      </c>
      <c r="M383" s="10"/>
      <c r="N383" s="45">
        <f>N384+N385+N386+N388+N389+N387</f>
        <v>104679641.39</v>
      </c>
      <c r="O383" s="10"/>
      <c r="P383" s="45">
        <f>P384+P385+P386+P388+P389+P387</f>
        <v>104473115.16</v>
      </c>
      <c r="R383" s="45">
        <f>R384+R385+R386+R388+R389+R387</f>
        <v>46724704.25000001</v>
      </c>
      <c r="S383" s="117">
        <f t="shared" si="13"/>
        <v>44.724141879412116</v>
      </c>
    </row>
    <row r="384" spans="1:19" ht="15.75">
      <c r="A384" s="1" t="s">
        <v>318</v>
      </c>
      <c r="B384" s="10" t="s">
        <v>114</v>
      </c>
      <c r="C384" s="10" t="s">
        <v>116</v>
      </c>
      <c r="D384" s="10" t="s">
        <v>118</v>
      </c>
      <c r="E384" s="10" t="s">
        <v>313</v>
      </c>
      <c r="F384" s="45">
        <v>0</v>
      </c>
      <c r="G384" s="64">
        <v>74461823</v>
      </c>
      <c r="H384" s="45">
        <f aca="true" t="shared" si="14" ref="H384:J389">F384+G384</f>
        <v>74461823</v>
      </c>
      <c r="I384" s="64">
        <v>21404000</v>
      </c>
      <c r="J384" s="45">
        <f t="shared" si="14"/>
        <v>95865823</v>
      </c>
      <c r="K384" s="64">
        <v>-8604305</v>
      </c>
      <c r="L384" s="45">
        <f aca="true" t="shared" si="15" ref="L384:N389">J384+K384</f>
        <v>87261518</v>
      </c>
      <c r="M384" s="64">
        <f>-4969-315001.81-1110606</f>
        <v>-1430576.81</v>
      </c>
      <c r="N384" s="45">
        <f t="shared" si="15"/>
        <v>85830941.19</v>
      </c>
      <c r="O384" s="64">
        <v>-200000</v>
      </c>
      <c r="P384" s="45">
        <f aca="true" t="shared" si="16" ref="P384:P389">N384+O384</f>
        <v>85630941.19</v>
      </c>
      <c r="R384" s="45">
        <v>36032893.31</v>
      </c>
      <c r="S384" s="117">
        <f t="shared" si="13"/>
        <v>42.07929144449008</v>
      </c>
    </row>
    <row r="385" spans="1:19" ht="31.5">
      <c r="A385" s="1" t="s">
        <v>319</v>
      </c>
      <c r="B385" s="10" t="s">
        <v>114</v>
      </c>
      <c r="C385" s="10" t="s">
        <v>116</v>
      </c>
      <c r="D385" s="10" t="s">
        <v>118</v>
      </c>
      <c r="E385" s="10" t="s">
        <v>314</v>
      </c>
      <c r="F385" s="45">
        <v>0</v>
      </c>
      <c r="G385" s="64">
        <v>241110</v>
      </c>
      <c r="H385" s="45">
        <f t="shared" si="14"/>
        <v>241110</v>
      </c>
      <c r="I385" s="64">
        <v>0</v>
      </c>
      <c r="J385" s="45">
        <f t="shared" si="14"/>
        <v>241110</v>
      </c>
      <c r="K385" s="64">
        <v>-28650</v>
      </c>
      <c r="L385" s="45">
        <f t="shared" si="15"/>
        <v>212460</v>
      </c>
      <c r="M385" s="64">
        <v>-4670.44</v>
      </c>
      <c r="N385" s="45">
        <f t="shared" si="15"/>
        <v>207789.56</v>
      </c>
      <c r="O385" s="64"/>
      <c r="P385" s="45">
        <f t="shared" si="16"/>
        <v>207789.56</v>
      </c>
      <c r="R385" s="45">
        <v>77471.63</v>
      </c>
      <c r="S385" s="117">
        <f t="shared" si="13"/>
        <v>37.283697025009346</v>
      </c>
    </row>
    <row r="386" spans="1:19" ht="47.25">
      <c r="A386" s="1" t="s">
        <v>320</v>
      </c>
      <c r="B386" s="10" t="s">
        <v>114</v>
      </c>
      <c r="C386" s="10" t="s">
        <v>116</v>
      </c>
      <c r="D386" s="10" t="s">
        <v>118</v>
      </c>
      <c r="E386" s="10" t="s">
        <v>315</v>
      </c>
      <c r="F386" s="45">
        <v>0</v>
      </c>
      <c r="G386" s="64">
        <v>645005</v>
      </c>
      <c r="H386" s="45">
        <f t="shared" si="14"/>
        <v>645005</v>
      </c>
      <c r="I386" s="64">
        <v>0</v>
      </c>
      <c r="J386" s="45">
        <f t="shared" si="14"/>
        <v>645005</v>
      </c>
      <c r="K386" s="64">
        <f>-70000-107972</f>
        <v>-177972</v>
      </c>
      <c r="L386" s="45">
        <f t="shared" si="15"/>
        <v>467033</v>
      </c>
      <c r="M386" s="64">
        <v>-29451.94</v>
      </c>
      <c r="N386" s="45">
        <f t="shared" si="15"/>
        <v>437581.06</v>
      </c>
      <c r="O386" s="64"/>
      <c r="P386" s="45">
        <f t="shared" si="16"/>
        <v>437581.06</v>
      </c>
      <c r="R386" s="45">
        <v>145447.74</v>
      </c>
      <c r="S386" s="117">
        <f t="shared" si="13"/>
        <v>33.2390391851055</v>
      </c>
    </row>
    <row r="387" spans="1:19" ht="47.25">
      <c r="A387" s="1" t="s">
        <v>366</v>
      </c>
      <c r="B387" s="10" t="s">
        <v>114</v>
      </c>
      <c r="C387" s="10" t="s">
        <v>116</v>
      </c>
      <c r="D387" s="10" t="s">
        <v>118</v>
      </c>
      <c r="E387" s="10" t="s">
        <v>325</v>
      </c>
      <c r="F387" s="45">
        <v>0</v>
      </c>
      <c r="G387" s="64">
        <v>238110</v>
      </c>
      <c r="H387" s="45">
        <f t="shared" si="14"/>
        <v>238110</v>
      </c>
      <c r="I387" s="64">
        <v>0</v>
      </c>
      <c r="J387" s="45">
        <f t="shared" si="14"/>
        <v>238110</v>
      </c>
      <c r="K387" s="64">
        <v>-97000</v>
      </c>
      <c r="L387" s="45">
        <f t="shared" si="15"/>
        <v>141110</v>
      </c>
      <c r="M387" s="64"/>
      <c r="N387" s="45">
        <f t="shared" si="15"/>
        <v>141110</v>
      </c>
      <c r="O387" s="64"/>
      <c r="P387" s="45">
        <f t="shared" si="16"/>
        <v>141110</v>
      </c>
      <c r="R387" s="45">
        <v>37531</v>
      </c>
      <c r="S387" s="117">
        <f t="shared" si="13"/>
        <v>26.59698107859117</v>
      </c>
    </row>
    <row r="388" spans="1:19" ht="31.5">
      <c r="A388" s="1" t="s">
        <v>321</v>
      </c>
      <c r="B388" s="10" t="s">
        <v>114</v>
      </c>
      <c r="C388" s="10" t="s">
        <v>116</v>
      </c>
      <c r="D388" s="10" t="s">
        <v>118</v>
      </c>
      <c r="E388" s="10" t="s">
        <v>316</v>
      </c>
      <c r="F388" s="45">
        <v>0</v>
      </c>
      <c r="G388" s="64">
        <v>25857607</v>
      </c>
      <c r="H388" s="45">
        <f t="shared" si="14"/>
        <v>25857607</v>
      </c>
      <c r="I388" s="64">
        <v>-5905903</v>
      </c>
      <c r="J388" s="45">
        <f t="shared" si="14"/>
        <v>19951704</v>
      </c>
      <c r="K388" s="64">
        <f>-1711282</f>
        <v>-1711282</v>
      </c>
      <c r="L388" s="45">
        <f t="shared" si="15"/>
        <v>18240422</v>
      </c>
      <c r="M388" s="64">
        <v>-178202.42</v>
      </c>
      <c r="N388" s="45">
        <f t="shared" si="15"/>
        <v>18062219.58</v>
      </c>
      <c r="O388" s="64">
        <v>-6526.23</v>
      </c>
      <c r="P388" s="45">
        <f t="shared" si="16"/>
        <v>18055693.349999998</v>
      </c>
      <c r="R388" s="45">
        <v>10431360.57</v>
      </c>
      <c r="S388" s="117">
        <f t="shared" si="13"/>
        <v>57.77324840311381</v>
      </c>
    </row>
    <row r="389" spans="1:19" ht="31.5">
      <c r="A389" s="1" t="s">
        <v>322</v>
      </c>
      <c r="B389" s="10" t="s">
        <v>114</v>
      </c>
      <c r="C389" s="10" t="s">
        <v>116</v>
      </c>
      <c r="D389" s="10" t="s">
        <v>118</v>
      </c>
      <c r="E389" s="10" t="s">
        <v>317</v>
      </c>
      <c r="F389" s="45">
        <v>0</v>
      </c>
      <c r="G389" s="64">
        <v>100000</v>
      </c>
      <c r="H389" s="45">
        <f t="shared" si="14"/>
        <v>100000</v>
      </c>
      <c r="I389" s="64">
        <v>-100000</v>
      </c>
      <c r="J389" s="45">
        <f t="shared" si="14"/>
        <v>0</v>
      </c>
      <c r="K389" s="64"/>
      <c r="L389" s="45">
        <f t="shared" si="15"/>
        <v>0</v>
      </c>
      <c r="M389" s="64"/>
      <c r="N389" s="45">
        <f t="shared" si="15"/>
        <v>0</v>
      </c>
      <c r="O389" s="64"/>
      <c r="P389" s="45">
        <f t="shared" si="16"/>
        <v>0</v>
      </c>
      <c r="R389" s="45">
        <f>P389+Q389</f>
        <v>0</v>
      </c>
      <c r="S389" s="117">
        <v>0</v>
      </c>
    </row>
    <row r="390" spans="1:19" ht="31.5">
      <c r="A390" s="1" t="s">
        <v>153</v>
      </c>
      <c r="B390" s="10" t="s">
        <v>114</v>
      </c>
      <c r="C390" s="10" t="s">
        <v>116</v>
      </c>
      <c r="D390" s="10" t="s">
        <v>399</v>
      </c>
      <c r="E390" s="10"/>
      <c r="F390" s="45">
        <f>F391</f>
        <v>0</v>
      </c>
      <c r="G390" s="10"/>
      <c r="H390" s="45">
        <f>H391</f>
        <v>179004</v>
      </c>
      <c r="I390" s="10" t="s">
        <v>376</v>
      </c>
      <c r="J390" s="45">
        <f>J391</f>
        <v>179004</v>
      </c>
      <c r="K390" s="10"/>
      <c r="L390" s="45">
        <f>L391</f>
        <v>154004</v>
      </c>
      <c r="M390" s="10"/>
      <c r="N390" s="45">
        <f>N391</f>
        <v>154004</v>
      </c>
      <c r="O390" s="10"/>
      <c r="P390" s="45">
        <f>P391</f>
        <v>154004</v>
      </c>
      <c r="R390" s="45">
        <f>R391</f>
        <v>75710.48</v>
      </c>
      <c r="S390" s="117">
        <f t="shared" si="13"/>
        <v>49.16137243188488</v>
      </c>
    </row>
    <row r="391" spans="1:19" ht="31.5">
      <c r="A391" s="1" t="s">
        <v>365</v>
      </c>
      <c r="B391" s="10" t="s">
        <v>114</v>
      </c>
      <c r="C391" s="10" t="s">
        <v>116</v>
      </c>
      <c r="D391" s="10" t="s">
        <v>399</v>
      </c>
      <c r="E391" s="10" t="s">
        <v>316</v>
      </c>
      <c r="F391" s="45">
        <v>0</v>
      </c>
      <c r="G391" s="64">
        <v>179004</v>
      </c>
      <c r="H391" s="45">
        <f>G391+F391</f>
        <v>179004</v>
      </c>
      <c r="I391" s="64">
        <v>0</v>
      </c>
      <c r="J391" s="45">
        <f>I391+H391</f>
        <v>179004</v>
      </c>
      <c r="K391" s="64">
        <v>-25000</v>
      </c>
      <c r="L391" s="45">
        <f>K391+J391</f>
        <v>154004</v>
      </c>
      <c r="M391" s="64">
        <v>0</v>
      </c>
      <c r="N391" s="45">
        <f>M391+L391</f>
        <v>154004</v>
      </c>
      <c r="O391" s="64"/>
      <c r="P391" s="45">
        <f>O391+N391</f>
        <v>154004</v>
      </c>
      <c r="R391" s="45">
        <v>75710.48</v>
      </c>
      <c r="S391" s="117">
        <f t="shared" si="13"/>
        <v>49.16137243188488</v>
      </c>
    </row>
    <row r="392" spans="1:19" ht="31.5">
      <c r="A392" s="1" t="s">
        <v>153</v>
      </c>
      <c r="B392" s="10" t="s">
        <v>114</v>
      </c>
      <c r="C392" s="10" t="s">
        <v>116</v>
      </c>
      <c r="D392" s="10" t="s">
        <v>252</v>
      </c>
      <c r="E392" s="10"/>
      <c r="F392" s="45">
        <f>F393</f>
        <v>0</v>
      </c>
      <c r="G392" s="10"/>
      <c r="H392" s="45">
        <f>H393</f>
        <v>12302600</v>
      </c>
      <c r="I392" s="10"/>
      <c r="J392" s="45">
        <f>J393</f>
        <v>12302600</v>
      </c>
      <c r="K392" s="64"/>
      <c r="L392" s="45">
        <f>L393</f>
        <v>11177399</v>
      </c>
      <c r="M392" s="64"/>
      <c r="N392" s="45">
        <f>N393</f>
        <v>11177399</v>
      </c>
      <c r="O392" s="64"/>
      <c r="P392" s="45">
        <f>P393</f>
        <v>11177399</v>
      </c>
      <c r="R392" s="45">
        <f>R393</f>
        <v>5158607.01</v>
      </c>
      <c r="S392" s="117">
        <f t="shared" si="13"/>
        <v>46.15212367385293</v>
      </c>
    </row>
    <row r="393" spans="1:19" ht="31.5">
      <c r="A393" s="1" t="s">
        <v>365</v>
      </c>
      <c r="B393" s="10" t="s">
        <v>114</v>
      </c>
      <c r="C393" s="10" t="s">
        <v>116</v>
      </c>
      <c r="D393" s="10" t="s">
        <v>252</v>
      </c>
      <c r="E393" s="10" t="s">
        <v>316</v>
      </c>
      <c r="F393" s="45">
        <v>0</v>
      </c>
      <c r="G393" s="64">
        <v>12302600</v>
      </c>
      <c r="H393" s="45">
        <f>F393+G393</f>
        <v>12302600</v>
      </c>
      <c r="I393" s="64">
        <v>0</v>
      </c>
      <c r="J393" s="45">
        <f>H393+I393</f>
        <v>12302600</v>
      </c>
      <c r="K393" s="64">
        <v>-1125201</v>
      </c>
      <c r="L393" s="45">
        <f>J393+K393</f>
        <v>11177399</v>
      </c>
      <c r="M393" s="64">
        <v>0</v>
      </c>
      <c r="N393" s="45">
        <f>L393+M393</f>
        <v>11177399</v>
      </c>
      <c r="O393" s="64"/>
      <c r="P393" s="45">
        <f>N393+O393</f>
        <v>11177399</v>
      </c>
      <c r="R393" s="45">
        <v>5158607.01</v>
      </c>
      <c r="S393" s="117">
        <f t="shared" si="13"/>
        <v>46.15212367385293</v>
      </c>
    </row>
    <row r="394" spans="1:19" ht="31.5">
      <c r="A394" s="1" t="s">
        <v>153</v>
      </c>
      <c r="B394" s="10" t="s">
        <v>114</v>
      </c>
      <c r="C394" s="10" t="s">
        <v>116</v>
      </c>
      <c r="D394" s="10" t="s">
        <v>585</v>
      </c>
      <c r="E394" s="10"/>
      <c r="F394" s="45"/>
      <c r="G394" s="64"/>
      <c r="H394" s="45"/>
      <c r="I394" s="64"/>
      <c r="J394" s="45"/>
      <c r="K394" s="64"/>
      <c r="L394" s="45">
        <f>L395</f>
        <v>10082209</v>
      </c>
      <c r="M394" s="64"/>
      <c r="N394" s="45">
        <f>N395</f>
        <v>10082209</v>
      </c>
      <c r="O394" s="64"/>
      <c r="P394" s="45">
        <f>P395</f>
        <v>10082209</v>
      </c>
      <c r="R394" s="45">
        <f>R395</f>
        <v>5647249</v>
      </c>
      <c r="S394" s="117">
        <f t="shared" si="13"/>
        <v>56.01202077838299</v>
      </c>
    </row>
    <row r="395" spans="1:19" ht="64.5" customHeight="1">
      <c r="A395" s="1" t="s">
        <v>586</v>
      </c>
      <c r="B395" s="10" t="s">
        <v>114</v>
      </c>
      <c r="C395" s="10" t="s">
        <v>116</v>
      </c>
      <c r="D395" s="10" t="s">
        <v>585</v>
      </c>
      <c r="E395" s="10" t="s">
        <v>338</v>
      </c>
      <c r="F395" s="45"/>
      <c r="G395" s="64"/>
      <c r="H395" s="45"/>
      <c r="I395" s="64"/>
      <c r="J395" s="45"/>
      <c r="K395" s="64">
        <v>10082209</v>
      </c>
      <c r="L395" s="45">
        <f>J395+K395</f>
        <v>10082209</v>
      </c>
      <c r="M395" s="64">
        <v>0</v>
      </c>
      <c r="N395" s="45">
        <f>L395+M395</f>
        <v>10082209</v>
      </c>
      <c r="O395" s="64"/>
      <c r="P395" s="45">
        <f>N395+O395</f>
        <v>10082209</v>
      </c>
      <c r="R395" s="45">
        <v>5647249</v>
      </c>
      <c r="S395" s="117">
        <f t="shared" si="13"/>
        <v>56.01202077838299</v>
      </c>
    </row>
    <row r="396" spans="1:19" ht="31.5">
      <c r="A396" s="1" t="s">
        <v>155</v>
      </c>
      <c r="B396" s="10" t="s">
        <v>114</v>
      </c>
      <c r="C396" s="10" t="s">
        <v>116</v>
      </c>
      <c r="D396" s="10" t="s">
        <v>35</v>
      </c>
      <c r="E396" s="10"/>
      <c r="F396" s="45" t="e">
        <f>#REF!+#REF!+#REF!+F403+#REF!+#REF!</f>
        <v>#REF!</v>
      </c>
      <c r="G396" s="10"/>
      <c r="H396" s="45">
        <f>H403</f>
        <v>0</v>
      </c>
      <c r="I396" s="10"/>
      <c r="J396" s="45">
        <f>J403</f>
        <v>0</v>
      </c>
      <c r="K396" s="10"/>
      <c r="L396" s="45">
        <f>L403</f>
        <v>177000</v>
      </c>
      <c r="M396" s="10"/>
      <c r="N396" s="45">
        <f>N403</f>
        <v>177000</v>
      </c>
      <c r="O396" s="10"/>
      <c r="P396" s="45">
        <f>P397+P400+P403</f>
        <v>1872472</v>
      </c>
      <c r="R396" s="45">
        <f>R397+R400+R403</f>
        <v>25666.6</v>
      </c>
      <c r="S396" s="117">
        <f t="shared" si="13"/>
        <v>1.3707334475495494</v>
      </c>
    </row>
    <row r="397" spans="1:19" ht="78.75">
      <c r="A397" s="32" t="s">
        <v>755</v>
      </c>
      <c r="B397" s="10" t="s">
        <v>114</v>
      </c>
      <c r="C397" s="8" t="s">
        <v>116</v>
      </c>
      <c r="D397" s="8" t="s">
        <v>757</v>
      </c>
      <c r="E397" s="8"/>
      <c r="F397" s="106"/>
      <c r="G397" s="107"/>
      <c r="H397" s="106"/>
      <c r="I397" s="107"/>
      <c r="J397" s="106"/>
      <c r="K397" s="108"/>
      <c r="L397" s="106"/>
      <c r="M397" s="108"/>
      <c r="N397" s="106"/>
      <c r="O397" s="108"/>
      <c r="P397" s="106">
        <f>P398+P399</f>
        <v>1180000</v>
      </c>
      <c r="R397" s="106">
        <f>R398+R399</f>
        <v>0</v>
      </c>
      <c r="S397" s="117">
        <f aca="true" t="shared" si="17" ref="S397:S460">R397/P397*100</f>
        <v>0</v>
      </c>
    </row>
    <row r="398" spans="1:19" ht="15.75">
      <c r="A398" s="67" t="s">
        <v>318</v>
      </c>
      <c r="B398" s="10" t="s">
        <v>114</v>
      </c>
      <c r="C398" s="8" t="s">
        <v>116</v>
      </c>
      <c r="D398" s="8" t="s">
        <v>757</v>
      </c>
      <c r="E398" s="8" t="s">
        <v>313</v>
      </c>
      <c r="F398" s="106"/>
      <c r="G398" s="107"/>
      <c r="H398" s="106"/>
      <c r="I398" s="107"/>
      <c r="J398" s="106"/>
      <c r="K398" s="108"/>
      <c r="L398" s="106"/>
      <c r="M398" s="108"/>
      <c r="N398" s="106"/>
      <c r="O398" s="108">
        <f>1180000-133410</f>
        <v>1046590</v>
      </c>
      <c r="P398" s="106">
        <f>N398+O398</f>
        <v>1046590</v>
      </c>
      <c r="R398" s="106">
        <v>0</v>
      </c>
      <c r="S398" s="117">
        <f t="shared" si="17"/>
        <v>0</v>
      </c>
    </row>
    <row r="399" spans="1:19" ht="31.5">
      <c r="A399" s="1" t="s">
        <v>341</v>
      </c>
      <c r="B399" s="10" t="s">
        <v>114</v>
      </c>
      <c r="C399" s="8" t="s">
        <v>116</v>
      </c>
      <c r="D399" s="8" t="s">
        <v>757</v>
      </c>
      <c r="E399" s="8" t="s">
        <v>340</v>
      </c>
      <c r="F399" s="106"/>
      <c r="G399" s="107"/>
      <c r="H399" s="106"/>
      <c r="I399" s="107"/>
      <c r="J399" s="106"/>
      <c r="K399" s="108"/>
      <c r="L399" s="106"/>
      <c r="M399" s="108"/>
      <c r="N399" s="106"/>
      <c r="O399" s="108">
        <v>133410</v>
      </c>
      <c r="P399" s="106">
        <f>N399+O399</f>
        <v>133410</v>
      </c>
      <c r="R399" s="106">
        <v>0</v>
      </c>
      <c r="S399" s="117">
        <f t="shared" si="17"/>
        <v>0</v>
      </c>
    </row>
    <row r="400" spans="1:19" ht="94.5">
      <c r="A400" s="32" t="s">
        <v>756</v>
      </c>
      <c r="B400" s="10" t="s">
        <v>114</v>
      </c>
      <c r="C400" s="8" t="s">
        <v>116</v>
      </c>
      <c r="D400" s="8" t="s">
        <v>758</v>
      </c>
      <c r="E400" s="8"/>
      <c r="F400" s="106"/>
      <c r="G400" s="107"/>
      <c r="H400" s="106"/>
      <c r="I400" s="107"/>
      <c r="J400" s="106"/>
      <c r="K400" s="108"/>
      <c r="L400" s="106"/>
      <c r="M400" s="108"/>
      <c r="N400" s="106"/>
      <c r="O400" s="108"/>
      <c r="P400" s="106">
        <f>P401+P402</f>
        <v>515472</v>
      </c>
      <c r="R400" s="106">
        <f>R401+R402</f>
        <v>0</v>
      </c>
      <c r="S400" s="117">
        <f t="shared" si="17"/>
        <v>0</v>
      </c>
    </row>
    <row r="401" spans="1:19" ht="15.75">
      <c r="A401" s="67" t="s">
        <v>318</v>
      </c>
      <c r="B401" s="10" t="s">
        <v>114</v>
      </c>
      <c r="C401" s="8" t="s">
        <v>116</v>
      </c>
      <c r="D401" s="8" t="s">
        <v>758</v>
      </c>
      <c r="E401" s="8" t="s">
        <v>313</v>
      </c>
      <c r="F401" s="106"/>
      <c r="G401" s="107"/>
      <c r="H401" s="106"/>
      <c r="I401" s="107"/>
      <c r="J401" s="106"/>
      <c r="K401" s="108"/>
      <c r="L401" s="106"/>
      <c r="M401" s="108"/>
      <c r="N401" s="106"/>
      <c r="O401" s="108">
        <f>515472-32494</f>
        <v>482978</v>
      </c>
      <c r="P401" s="106">
        <f>N401+O401</f>
        <v>482978</v>
      </c>
      <c r="R401" s="106">
        <v>0</v>
      </c>
      <c r="S401" s="117">
        <f t="shared" si="17"/>
        <v>0</v>
      </c>
    </row>
    <row r="402" spans="1:19" ht="32.25" customHeight="1">
      <c r="A402" s="1" t="s">
        <v>341</v>
      </c>
      <c r="B402" s="10" t="s">
        <v>114</v>
      </c>
      <c r="C402" s="8" t="s">
        <v>116</v>
      </c>
      <c r="D402" s="8" t="s">
        <v>758</v>
      </c>
      <c r="E402" s="8" t="s">
        <v>340</v>
      </c>
      <c r="F402" s="106"/>
      <c r="G402" s="107"/>
      <c r="H402" s="106"/>
      <c r="I402" s="107"/>
      <c r="J402" s="106"/>
      <c r="K402" s="108"/>
      <c r="L402" s="106"/>
      <c r="M402" s="108"/>
      <c r="N402" s="106"/>
      <c r="O402" s="108">
        <v>32494</v>
      </c>
      <c r="P402" s="106">
        <f>N402+O402</f>
        <v>32494</v>
      </c>
      <c r="R402" s="106">
        <v>0</v>
      </c>
      <c r="S402" s="117">
        <f t="shared" si="17"/>
        <v>0</v>
      </c>
    </row>
    <row r="403" spans="1:19" ht="79.5" customHeight="1">
      <c r="A403" s="1" t="s">
        <v>222</v>
      </c>
      <c r="B403" s="10" t="s">
        <v>114</v>
      </c>
      <c r="C403" s="10" t="s">
        <v>116</v>
      </c>
      <c r="D403" s="10" t="s">
        <v>323</v>
      </c>
      <c r="E403" s="10"/>
      <c r="F403" s="45">
        <f>F404+F405</f>
        <v>0</v>
      </c>
      <c r="G403" s="10"/>
      <c r="H403" s="45">
        <f>H404+H405</f>
        <v>0</v>
      </c>
      <c r="I403" s="10"/>
      <c r="J403" s="45">
        <f>J404+J405</f>
        <v>0</v>
      </c>
      <c r="K403" s="10"/>
      <c r="L403" s="45">
        <f>L404+L405</f>
        <v>177000</v>
      </c>
      <c r="M403" s="10"/>
      <c r="N403" s="45">
        <f>N404+N405</f>
        <v>177000</v>
      </c>
      <c r="O403" s="10"/>
      <c r="P403" s="45">
        <f>P404+P405</f>
        <v>177000</v>
      </c>
      <c r="R403" s="45">
        <f>R404+R405</f>
        <v>25666.6</v>
      </c>
      <c r="S403" s="117">
        <f t="shared" si="17"/>
        <v>14.500903954802258</v>
      </c>
    </row>
    <row r="404" spans="1:19" ht="15.75">
      <c r="A404" s="1" t="s">
        <v>318</v>
      </c>
      <c r="B404" s="10" t="s">
        <v>114</v>
      </c>
      <c r="C404" s="10" t="s">
        <v>116</v>
      </c>
      <c r="D404" s="10" t="s">
        <v>323</v>
      </c>
      <c r="E404" s="10" t="s">
        <v>313</v>
      </c>
      <c r="F404" s="45">
        <v>0</v>
      </c>
      <c r="G404" s="10"/>
      <c r="H404" s="45">
        <f>F404+G404</f>
        <v>0</v>
      </c>
      <c r="I404" s="10"/>
      <c r="J404" s="45">
        <f>H404+I404</f>
        <v>0</v>
      </c>
      <c r="K404" s="64">
        <v>102773</v>
      </c>
      <c r="L404" s="45">
        <f>J404+K404</f>
        <v>102773</v>
      </c>
      <c r="M404" s="64">
        <v>0</v>
      </c>
      <c r="N404" s="45">
        <f>L404+M404</f>
        <v>102773</v>
      </c>
      <c r="O404" s="64"/>
      <c r="P404" s="45">
        <f>N404+O404</f>
        <v>102773</v>
      </c>
      <c r="R404" s="45">
        <v>16153.6</v>
      </c>
      <c r="S404" s="117">
        <f t="shared" si="17"/>
        <v>15.717746879044107</v>
      </c>
    </row>
    <row r="405" spans="1:19" ht="31.5">
      <c r="A405" s="1" t="s">
        <v>365</v>
      </c>
      <c r="B405" s="10" t="s">
        <v>114</v>
      </c>
      <c r="C405" s="10" t="s">
        <v>116</v>
      </c>
      <c r="D405" s="10" t="s">
        <v>323</v>
      </c>
      <c r="E405" s="10" t="s">
        <v>316</v>
      </c>
      <c r="F405" s="45">
        <v>0</v>
      </c>
      <c r="G405" s="10"/>
      <c r="H405" s="45">
        <f>F405+G405</f>
        <v>0</v>
      </c>
      <c r="I405" s="10"/>
      <c r="J405" s="45">
        <f>H405+I405</f>
        <v>0</v>
      </c>
      <c r="K405" s="64">
        <v>74227</v>
      </c>
      <c r="L405" s="45">
        <f>J405+K405</f>
        <v>74227</v>
      </c>
      <c r="M405" s="64">
        <v>0</v>
      </c>
      <c r="N405" s="45">
        <f>L405+M405</f>
        <v>74227</v>
      </c>
      <c r="O405" s="64"/>
      <c r="P405" s="45">
        <f>N405+O405</f>
        <v>74227</v>
      </c>
      <c r="R405" s="45">
        <v>9513</v>
      </c>
      <c r="S405" s="117">
        <f t="shared" si="17"/>
        <v>12.816091179759386</v>
      </c>
    </row>
    <row r="406" spans="1:19" ht="63">
      <c r="A406" s="79" t="s">
        <v>744</v>
      </c>
      <c r="B406" s="10" t="s">
        <v>114</v>
      </c>
      <c r="C406" s="10" t="s">
        <v>116</v>
      </c>
      <c r="D406" s="10" t="s">
        <v>587</v>
      </c>
      <c r="E406" s="10"/>
      <c r="F406" s="45"/>
      <c r="G406" s="10"/>
      <c r="H406" s="45"/>
      <c r="I406" s="10"/>
      <c r="J406" s="45"/>
      <c r="K406" s="64"/>
      <c r="L406" s="45">
        <f>L407+L408</f>
        <v>455000</v>
      </c>
      <c r="M406" s="64"/>
      <c r="N406" s="45">
        <f>N407+N408</f>
        <v>455000</v>
      </c>
      <c r="O406" s="64"/>
      <c r="P406" s="45">
        <f>P407+P408</f>
        <v>455000</v>
      </c>
      <c r="R406" s="45">
        <f>R407+R408</f>
        <v>421739</v>
      </c>
      <c r="S406" s="117">
        <f t="shared" si="17"/>
        <v>92.6898901098901</v>
      </c>
    </row>
    <row r="407" spans="1:19" ht="31.5">
      <c r="A407" s="1" t="s">
        <v>365</v>
      </c>
      <c r="B407" s="10" t="s">
        <v>114</v>
      </c>
      <c r="C407" s="10" t="s">
        <v>116</v>
      </c>
      <c r="D407" s="10" t="s">
        <v>587</v>
      </c>
      <c r="E407" s="10" t="s">
        <v>316</v>
      </c>
      <c r="F407" s="45"/>
      <c r="G407" s="10"/>
      <c r="H407" s="45"/>
      <c r="I407" s="10"/>
      <c r="J407" s="45"/>
      <c r="K407" s="64">
        <v>363716</v>
      </c>
      <c r="L407" s="45">
        <f>J407+K407</f>
        <v>363716</v>
      </c>
      <c r="M407" s="64">
        <v>0</v>
      </c>
      <c r="N407" s="45">
        <f>L407+M407</f>
        <v>363716</v>
      </c>
      <c r="O407" s="64"/>
      <c r="P407" s="45">
        <f>N407+O407</f>
        <v>363716</v>
      </c>
      <c r="R407" s="45">
        <v>330455</v>
      </c>
      <c r="S407" s="117">
        <f t="shared" si="17"/>
        <v>90.85522770513258</v>
      </c>
    </row>
    <row r="408" spans="1:19" ht="31.5">
      <c r="A408" s="1" t="s">
        <v>341</v>
      </c>
      <c r="B408" s="10" t="s">
        <v>114</v>
      </c>
      <c r="C408" s="10" t="s">
        <v>116</v>
      </c>
      <c r="D408" s="10" t="s">
        <v>587</v>
      </c>
      <c r="E408" s="10" t="s">
        <v>340</v>
      </c>
      <c r="F408" s="45"/>
      <c r="G408" s="10"/>
      <c r="H408" s="45"/>
      <c r="I408" s="10"/>
      <c r="J408" s="45"/>
      <c r="K408" s="64">
        <v>91284</v>
      </c>
      <c r="L408" s="45">
        <f>J408+K408</f>
        <v>91284</v>
      </c>
      <c r="M408" s="64">
        <v>0</v>
      </c>
      <c r="N408" s="45">
        <f>L408+M408</f>
        <v>91284</v>
      </c>
      <c r="O408" s="64"/>
      <c r="P408" s="45">
        <f>N408+O408</f>
        <v>91284</v>
      </c>
      <c r="R408" s="45">
        <f>P408+Q408</f>
        <v>91284</v>
      </c>
      <c r="S408" s="117">
        <f t="shared" si="17"/>
        <v>100</v>
      </c>
    </row>
    <row r="409" spans="1:19" ht="47.25">
      <c r="A409" s="1" t="s">
        <v>723</v>
      </c>
      <c r="B409" s="10" t="s">
        <v>114</v>
      </c>
      <c r="C409" s="10" t="s">
        <v>116</v>
      </c>
      <c r="D409" s="10" t="s">
        <v>722</v>
      </c>
      <c r="E409" s="10"/>
      <c r="F409" s="45"/>
      <c r="G409" s="10"/>
      <c r="H409" s="45"/>
      <c r="I409" s="10"/>
      <c r="J409" s="45"/>
      <c r="K409" s="64"/>
      <c r="L409" s="45"/>
      <c r="M409" s="64"/>
      <c r="N409" s="45"/>
      <c r="O409" s="64"/>
      <c r="P409" s="45">
        <f>P410+P411</f>
        <v>51300000</v>
      </c>
      <c r="R409" s="45">
        <f>R410+R411</f>
        <v>0</v>
      </c>
      <c r="S409" s="117">
        <f t="shared" si="17"/>
        <v>0</v>
      </c>
    </row>
    <row r="410" spans="1:19" ht="48.75" customHeight="1">
      <c r="A410" s="1" t="s">
        <v>369</v>
      </c>
      <c r="B410" s="10" t="s">
        <v>114</v>
      </c>
      <c r="C410" s="10" t="s">
        <v>116</v>
      </c>
      <c r="D410" s="10" t="s">
        <v>722</v>
      </c>
      <c r="E410" s="10" t="s">
        <v>368</v>
      </c>
      <c r="F410" s="45"/>
      <c r="G410" s="10"/>
      <c r="H410" s="45"/>
      <c r="I410" s="10"/>
      <c r="J410" s="45"/>
      <c r="K410" s="64"/>
      <c r="L410" s="45"/>
      <c r="M410" s="64"/>
      <c r="N410" s="45"/>
      <c r="O410" s="64">
        <v>31550000</v>
      </c>
      <c r="P410" s="45">
        <f>N410+O410</f>
        <v>31550000</v>
      </c>
      <c r="R410" s="45">
        <v>0</v>
      </c>
      <c r="S410" s="117">
        <f t="shared" si="17"/>
        <v>0</v>
      </c>
    </row>
    <row r="411" spans="1:19" ht="50.25" customHeight="1">
      <c r="A411" s="1" t="s">
        <v>708</v>
      </c>
      <c r="B411" s="10" t="s">
        <v>114</v>
      </c>
      <c r="C411" s="10" t="s">
        <v>116</v>
      </c>
      <c r="D411" s="10" t="s">
        <v>722</v>
      </c>
      <c r="E411" s="10" t="s">
        <v>702</v>
      </c>
      <c r="F411" s="45"/>
      <c r="G411" s="10"/>
      <c r="H411" s="45"/>
      <c r="I411" s="10"/>
      <c r="J411" s="45"/>
      <c r="K411" s="64"/>
      <c r="L411" s="45"/>
      <c r="M411" s="64"/>
      <c r="N411" s="45"/>
      <c r="O411" s="64">
        <v>19750000</v>
      </c>
      <c r="P411" s="45">
        <f>O411+N411</f>
        <v>19750000</v>
      </c>
      <c r="R411" s="45">
        <v>0</v>
      </c>
      <c r="S411" s="117">
        <f t="shared" si="17"/>
        <v>0</v>
      </c>
    </row>
    <row r="412" spans="1:19" ht="15.75">
      <c r="A412" s="1" t="s">
        <v>152</v>
      </c>
      <c r="B412" s="10" t="s">
        <v>114</v>
      </c>
      <c r="C412" s="10" t="s">
        <v>28</v>
      </c>
      <c r="D412" s="10"/>
      <c r="E412" s="10"/>
      <c r="F412" s="45" t="e">
        <f>F415+F426+F437+#REF!+#REF!+#REF!+#REF!+F422</f>
        <v>#REF!</v>
      </c>
      <c r="G412" s="10"/>
      <c r="H412" s="45">
        <f>H415+H426+H437+H422</f>
        <v>340778569</v>
      </c>
      <c r="I412" s="10"/>
      <c r="J412" s="45">
        <f>J415+J426+J437+J422</f>
        <v>324482585</v>
      </c>
      <c r="K412" s="10"/>
      <c r="L412" s="45">
        <f>L415+L426+L437+L422+L469+L466</f>
        <v>329676185</v>
      </c>
      <c r="M412" s="10"/>
      <c r="N412" s="45">
        <f>N415+N426+N437+N422+N469+N466+N432+N424</f>
        <v>344064117.61</v>
      </c>
      <c r="O412" s="10"/>
      <c r="P412" s="45">
        <f>P413+P415+P426+P437+P422+P469+P466+P432+P424</f>
        <v>359920071.84000003</v>
      </c>
      <c r="R412" s="45">
        <f>R413+R415+R426+R437+R422+R469+R466+R432+R424</f>
        <v>150003778.01999998</v>
      </c>
      <c r="S412" s="117">
        <f t="shared" si="17"/>
        <v>41.676969348540005</v>
      </c>
    </row>
    <row r="413" spans="1:19" ht="63">
      <c r="A413" s="32" t="s">
        <v>759</v>
      </c>
      <c r="B413" s="10" t="s">
        <v>114</v>
      </c>
      <c r="C413" s="8" t="s">
        <v>28</v>
      </c>
      <c r="D413" s="8" t="s">
        <v>760</v>
      </c>
      <c r="E413" s="8"/>
      <c r="F413" s="106"/>
      <c r="G413" s="106"/>
      <c r="H413" s="106"/>
      <c r="I413" s="106"/>
      <c r="J413" s="106"/>
      <c r="K413" s="109"/>
      <c r="L413" s="106"/>
      <c r="M413" s="109"/>
      <c r="N413" s="106"/>
      <c r="O413" s="109"/>
      <c r="P413" s="106">
        <f>P414</f>
        <v>738000</v>
      </c>
      <c r="R413" s="106">
        <f>R414</f>
        <v>0</v>
      </c>
      <c r="S413" s="117">
        <f t="shared" si="17"/>
        <v>0</v>
      </c>
    </row>
    <row r="414" spans="1:19" ht="47.25">
      <c r="A414" s="67" t="s">
        <v>366</v>
      </c>
      <c r="B414" s="10" t="s">
        <v>114</v>
      </c>
      <c r="C414" s="8" t="s">
        <v>28</v>
      </c>
      <c r="D414" s="8" t="s">
        <v>760</v>
      </c>
      <c r="E414" s="8" t="s">
        <v>325</v>
      </c>
      <c r="F414" s="106"/>
      <c r="G414" s="106"/>
      <c r="H414" s="106"/>
      <c r="I414" s="106"/>
      <c r="J414" s="106"/>
      <c r="K414" s="109"/>
      <c r="L414" s="106"/>
      <c r="M414" s="109"/>
      <c r="N414" s="106"/>
      <c r="O414" s="109">
        <v>738000</v>
      </c>
      <c r="P414" s="106">
        <f>N414+O414</f>
        <v>738000</v>
      </c>
      <c r="R414" s="106">
        <v>0</v>
      </c>
      <c r="S414" s="117">
        <f t="shared" si="17"/>
        <v>0</v>
      </c>
    </row>
    <row r="415" spans="1:19" ht="31.5" customHeight="1">
      <c r="A415" s="1" t="s">
        <v>119</v>
      </c>
      <c r="B415" s="10" t="s">
        <v>114</v>
      </c>
      <c r="C415" s="10" t="s">
        <v>28</v>
      </c>
      <c r="D415" s="10" t="s">
        <v>120</v>
      </c>
      <c r="E415" s="10"/>
      <c r="F415" s="45">
        <f>F416+F417+F418+F420+F421+F419</f>
        <v>0</v>
      </c>
      <c r="G415" s="10"/>
      <c r="H415" s="45">
        <f>H416+H417+H418+H420+H421+H419</f>
        <v>52306838</v>
      </c>
      <c r="I415" s="10"/>
      <c r="J415" s="45">
        <f>J416+J417+J418+J420+J421+J419</f>
        <v>34736648</v>
      </c>
      <c r="K415" s="10"/>
      <c r="L415" s="45">
        <f>L416+L417+L418+L420+L421+L419</f>
        <v>34593648</v>
      </c>
      <c r="M415" s="10"/>
      <c r="N415" s="45">
        <f>N416+N417+N418+N420+N421+N419</f>
        <v>34516916.61</v>
      </c>
      <c r="O415" s="10"/>
      <c r="P415" s="45">
        <f>P416+P417+P418+P420+P421+P419</f>
        <v>34523442.84</v>
      </c>
      <c r="R415" s="45">
        <f>R416+R417+R418+R420+R421+R419</f>
        <v>21380697.71</v>
      </c>
      <c r="S415" s="117">
        <f t="shared" si="17"/>
        <v>61.93095459537313</v>
      </c>
    </row>
    <row r="416" spans="1:19" ht="15.75">
      <c r="A416" s="1" t="s">
        <v>318</v>
      </c>
      <c r="B416" s="10" t="s">
        <v>114</v>
      </c>
      <c r="C416" s="10" t="s">
        <v>28</v>
      </c>
      <c r="D416" s="10" t="s">
        <v>120</v>
      </c>
      <c r="E416" s="10" t="s">
        <v>313</v>
      </c>
      <c r="F416" s="45">
        <v>0</v>
      </c>
      <c r="G416" s="64">
        <v>1474467</v>
      </c>
      <c r="H416" s="45">
        <f aca="true" t="shared" si="18" ref="H416:J421">F416+G416</f>
        <v>1474467</v>
      </c>
      <c r="I416" s="64">
        <v>0</v>
      </c>
      <c r="J416" s="45">
        <f t="shared" si="18"/>
        <v>1474467</v>
      </c>
      <c r="K416" s="64"/>
      <c r="L416" s="45">
        <f aca="true" t="shared" si="19" ref="L416:N421">J416+K416</f>
        <v>1474467</v>
      </c>
      <c r="M416" s="64">
        <f>-14379</f>
        <v>-14379</v>
      </c>
      <c r="N416" s="45">
        <f t="shared" si="19"/>
        <v>1460088</v>
      </c>
      <c r="O416" s="64"/>
      <c r="P416" s="45">
        <f aca="true" t="shared" si="20" ref="P416:P421">N416+O416</f>
        <v>1460088</v>
      </c>
      <c r="R416" s="45">
        <v>470871.75</v>
      </c>
      <c r="S416" s="117">
        <f t="shared" si="17"/>
        <v>32.249545917780296</v>
      </c>
    </row>
    <row r="417" spans="1:19" ht="31.5">
      <c r="A417" s="1" t="s">
        <v>319</v>
      </c>
      <c r="B417" s="10" t="s">
        <v>114</v>
      </c>
      <c r="C417" s="10" t="s">
        <v>28</v>
      </c>
      <c r="D417" s="10" t="s">
        <v>120</v>
      </c>
      <c r="E417" s="10" t="s">
        <v>314</v>
      </c>
      <c r="F417" s="45">
        <v>0</v>
      </c>
      <c r="G417" s="64">
        <v>49150</v>
      </c>
      <c r="H417" s="45">
        <f t="shared" si="18"/>
        <v>49150</v>
      </c>
      <c r="I417" s="64">
        <v>0</v>
      </c>
      <c r="J417" s="45">
        <f t="shared" si="18"/>
        <v>49150</v>
      </c>
      <c r="K417" s="64">
        <v>-5000</v>
      </c>
      <c r="L417" s="45">
        <f t="shared" si="19"/>
        <v>44150</v>
      </c>
      <c r="M417" s="64">
        <f>-10242.5-1500</f>
        <v>-11742.5</v>
      </c>
      <c r="N417" s="45">
        <f t="shared" si="19"/>
        <v>32407.5</v>
      </c>
      <c r="O417" s="64"/>
      <c r="P417" s="45">
        <f t="shared" si="20"/>
        <v>32407.5</v>
      </c>
      <c r="R417" s="45">
        <v>6446.43</v>
      </c>
      <c r="S417" s="117">
        <f t="shared" si="17"/>
        <v>19.89178430918769</v>
      </c>
    </row>
    <row r="418" spans="1:19" ht="47.25">
      <c r="A418" s="1" t="s">
        <v>320</v>
      </c>
      <c r="B418" s="10" t="s">
        <v>114</v>
      </c>
      <c r="C418" s="10" t="s">
        <v>28</v>
      </c>
      <c r="D418" s="10" t="s">
        <v>120</v>
      </c>
      <c r="E418" s="10" t="s">
        <v>315</v>
      </c>
      <c r="F418" s="45">
        <v>0</v>
      </c>
      <c r="G418" s="64">
        <v>1284127</v>
      </c>
      <c r="H418" s="45">
        <f t="shared" si="18"/>
        <v>1284127</v>
      </c>
      <c r="I418" s="64">
        <v>0</v>
      </c>
      <c r="J418" s="45">
        <f t="shared" si="18"/>
        <v>1284127</v>
      </c>
      <c r="K418" s="64">
        <v>-91000</v>
      </c>
      <c r="L418" s="45">
        <f t="shared" si="19"/>
        <v>1193127</v>
      </c>
      <c r="M418" s="64">
        <f>-31347.5-42795.53</f>
        <v>-74143.03</v>
      </c>
      <c r="N418" s="45">
        <f t="shared" si="19"/>
        <v>1118983.97</v>
      </c>
      <c r="O418" s="64">
        <v>-39400</v>
      </c>
      <c r="P418" s="45">
        <f t="shared" si="20"/>
        <v>1079583.97</v>
      </c>
      <c r="R418" s="45">
        <v>475998.62</v>
      </c>
      <c r="S418" s="117">
        <f t="shared" si="17"/>
        <v>44.09093069434886</v>
      </c>
    </row>
    <row r="419" spans="1:19" ht="47.25">
      <c r="A419" s="67" t="s">
        <v>366</v>
      </c>
      <c r="B419" s="10" t="s">
        <v>114</v>
      </c>
      <c r="C419" s="10" t="s">
        <v>28</v>
      </c>
      <c r="D419" s="10" t="s">
        <v>120</v>
      </c>
      <c r="E419" s="10" t="s">
        <v>325</v>
      </c>
      <c r="F419" s="45">
        <v>0</v>
      </c>
      <c r="G419" s="64">
        <v>252876</v>
      </c>
      <c r="H419" s="45">
        <f t="shared" si="18"/>
        <v>252876</v>
      </c>
      <c r="I419" s="64">
        <v>0</v>
      </c>
      <c r="J419" s="45">
        <f t="shared" si="18"/>
        <v>252876</v>
      </c>
      <c r="K419" s="64"/>
      <c r="L419" s="45">
        <f t="shared" si="19"/>
        <v>252876</v>
      </c>
      <c r="M419" s="64"/>
      <c r="N419" s="45">
        <f t="shared" si="19"/>
        <v>252876</v>
      </c>
      <c r="O419" s="64"/>
      <c r="P419" s="45">
        <f t="shared" si="20"/>
        <v>252876</v>
      </c>
      <c r="R419" s="45">
        <v>145950</v>
      </c>
      <c r="S419" s="117">
        <f t="shared" si="17"/>
        <v>57.716034736392544</v>
      </c>
    </row>
    <row r="420" spans="1:19" ht="31.5">
      <c r="A420" s="1" t="s">
        <v>365</v>
      </c>
      <c r="B420" s="10" t="s">
        <v>114</v>
      </c>
      <c r="C420" s="10" t="s">
        <v>28</v>
      </c>
      <c r="D420" s="10" t="s">
        <v>120</v>
      </c>
      <c r="E420" s="10" t="s">
        <v>316</v>
      </c>
      <c r="F420" s="45">
        <v>0</v>
      </c>
      <c r="G420" s="64">
        <v>48946218</v>
      </c>
      <c r="H420" s="45">
        <f t="shared" si="18"/>
        <v>48946218</v>
      </c>
      <c r="I420" s="64">
        <v>-17270190</v>
      </c>
      <c r="J420" s="45">
        <f t="shared" si="18"/>
        <v>31676028</v>
      </c>
      <c r="K420" s="64">
        <v>-47000</v>
      </c>
      <c r="L420" s="45">
        <f t="shared" si="19"/>
        <v>31629028</v>
      </c>
      <c r="M420" s="64">
        <v>21567.78</v>
      </c>
      <c r="N420" s="45">
        <f t="shared" si="19"/>
        <v>31650595.78</v>
      </c>
      <c r="O420" s="64">
        <f>43726.23-600</f>
        <v>43126.23</v>
      </c>
      <c r="P420" s="45">
        <f t="shared" si="20"/>
        <v>31693722.01</v>
      </c>
      <c r="R420" s="45">
        <v>20279465.55</v>
      </c>
      <c r="S420" s="117">
        <f t="shared" si="17"/>
        <v>63.98574942886614</v>
      </c>
    </row>
    <row r="421" spans="1:19" ht="33.75" customHeight="1">
      <c r="A421" s="1" t="s">
        <v>322</v>
      </c>
      <c r="B421" s="10" t="s">
        <v>114</v>
      </c>
      <c r="C421" s="10" t="s">
        <v>28</v>
      </c>
      <c r="D421" s="10" t="s">
        <v>120</v>
      </c>
      <c r="E421" s="10" t="s">
        <v>317</v>
      </c>
      <c r="F421" s="45">
        <v>0</v>
      </c>
      <c r="G421" s="64">
        <v>300000</v>
      </c>
      <c r="H421" s="45">
        <f t="shared" si="18"/>
        <v>300000</v>
      </c>
      <c r="I421" s="64">
        <v>-300000</v>
      </c>
      <c r="J421" s="45">
        <f t="shared" si="18"/>
        <v>0</v>
      </c>
      <c r="K421" s="64"/>
      <c r="L421" s="45">
        <f t="shared" si="19"/>
        <v>0</v>
      </c>
      <c r="M421" s="64">
        <v>1965.36</v>
      </c>
      <c r="N421" s="45">
        <f t="shared" si="19"/>
        <v>1965.36</v>
      </c>
      <c r="O421" s="64">
        <f>2200+600</f>
        <v>2800</v>
      </c>
      <c r="P421" s="45">
        <f t="shared" si="20"/>
        <v>4765.36</v>
      </c>
      <c r="R421" s="45">
        <v>1965.36</v>
      </c>
      <c r="S421" s="117">
        <f t="shared" si="17"/>
        <v>41.242634344519615</v>
      </c>
    </row>
    <row r="422" spans="1:19" ht="30" customHeight="1">
      <c r="A422" s="1" t="s">
        <v>119</v>
      </c>
      <c r="B422" s="10" t="s">
        <v>114</v>
      </c>
      <c r="C422" s="10" t="s">
        <v>28</v>
      </c>
      <c r="D422" s="10" t="s">
        <v>400</v>
      </c>
      <c r="E422" s="10"/>
      <c r="F422" s="45">
        <f>F423</f>
        <v>0</v>
      </c>
      <c r="G422" s="64"/>
      <c r="H422" s="45">
        <f>H423</f>
        <v>2188296</v>
      </c>
      <c r="I422" s="64">
        <v>0</v>
      </c>
      <c r="J422" s="45">
        <f>J423</f>
        <v>2188296</v>
      </c>
      <c r="K422" s="64"/>
      <c r="L422" s="45">
        <f>L423</f>
        <v>2188296</v>
      </c>
      <c r="M422" s="64"/>
      <c r="N422" s="45">
        <f>N423</f>
        <v>2168296</v>
      </c>
      <c r="O422" s="64"/>
      <c r="P422" s="45">
        <f>P423</f>
        <v>2168296</v>
      </c>
      <c r="R422" s="45">
        <f>R423</f>
        <v>1089426.22</v>
      </c>
      <c r="S422" s="117">
        <f t="shared" si="17"/>
        <v>50.24342709666946</v>
      </c>
    </row>
    <row r="423" spans="1:19" ht="31.5">
      <c r="A423" s="1" t="s">
        <v>324</v>
      </c>
      <c r="B423" s="10" t="s">
        <v>114</v>
      </c>
      <c r="C423" s="10" t="s">
        <v>28</v>
      </c>
      <c r="D423" s="10" t="s">
        <v>400</v>
      </c>
      <c r="E423" s="10" t="s">
        <v>316</v>
      </c>
      <c r="F423" s="45">
        <v>0</v>
      </c>
      <c r="G423" s="64">
        <v>2188296</v>
      </c>
      <c r="H423" s="45">
        <f>G423+F423</f>
        <v>2188296</v>
      </c>
      <c r="I423" s="64">
        <v>0</v>
      </c>
      <c r="J423" s="45">
        <f>I423+H423</f>
        <v>2188296</v>
      </c>
      <c r="K423" s="64"/>
      <c r="L423" s="45">
        <f>K423+J423</f>
        <v>2188296</v>
      </c>
      <c r="M423" s="64">
        <v>-20000</v>
      </c>
      <c r="N423" s="45">
        <f>M423+L423</f>
        <v>2168296</v>
      </c>
      <c r="O423" s="64"/>
      <c r="P423" s="45">
        <f>O423+N423</f>
        <v>2168296</v>
      </c>
      <c r="R423" s="45">
        <v>1089426.22</v>
      </c>
      <c r="S423" s="117">
        <f t="shared" si="17"/>
        <v>50.24342709666946</v>
      </c>
    </row>
    <row r="424" spans="1:19" ht="31.5">
      <c r="A424" s="1" t="s">
        <v>153</v>
      </c>
      <c r="B424" s="10" t="s">
        <v>114</v>
      </c>
      <c r="C424" s="10" t="s">
        <v>28</v>
      </c>
      <c r="D424" s="10" t="s">
        <v>699</v>
      </c>
      <c r="E424" s="10"/>
      <c r="F424" s="45"/>
      <c r="G424" s="64"/>
      <c r="H424" s="45"/>
      <c r="I424" s="64"/>
      <c r="J424" s="45"/>
      <c r="K424" s="64"/>
      <c r="L424" s="45"/>
      <c r="M424" s="64"/>
      <c r="N424" s="45">
        <f>N425</f>
        <v>604058</v>
      </c>
      <c r="O424" s="64"/>
      <c r="P424" s="45">
        <f>P425</f>
        <v>604058</v>
      </c>
      <c r="R424" s="45">
        <f>R425</f>
        <v>0</v>
      </c>
      <c r="S424" s="117">
        <f t="shared" si="17"/>
        <v>0</v>
      </c>
    </row>
    <row r="425" spans="1:19" ht="66" customHeight="1">
      <c r="A425" s="1" t="s">
        <v>704</v>
      </c>
      <c r="B425" s="10" t="s">
        <v>114</v>
      </c>
      <c r="C425" s="10" t="s">
        <v>28</v>
      </c>
      <c r="D425" s="10" t="s">
        <v>699</v>
      </c>
      <c r="E425" s="10" t="s">
        <v>703</v>
      </c>
      <c r="F425" s="45"/>
      <c r="G425" s="64"/>
      <c r="H425" s="45"/>
      <c r="I425" s="64"/>
      <c r="J425" s="45"/>
      <c r="K425" s="64"/>
      <c r="L425" s="45"/>
      <c r="M425" s="64">
        <v>604058</v>
      </c>
      <c r="N425" s="45">
        <f>M425+L425</f>
        <v>604058</v>
      </c>
      <c r="O425" s="64"/>
      <c r="P425" s="45">
        <f>O425+N425</f>
        <v>604058</v>
      </c>
      <c r="R425" s="45">
        <v>0</v>
      </c>
      <c r="S425" s="117">
        <f t="shared" si="17"/>
        <v>0</v>
      </c>
    </row>
    <row r="426" spans="1:19" ht="31.5" customHeight="1">
      <c r="A426" s="1" t="s">
        <v>154</v>
      </c>
      <c r="B426" s="10" t="s">
        <v>114</v>
      </c>
      <c r="C426" s="10" t="s">
        <v>28</v>
      </c>
      <c r="D426" s="10" t="s">
        <v>113</v>
      </c>
      <c r="E426" s="10"/>
      <c r="F426" s="45">
        <f>F427+F428+F429+F430+F431</f>
        <v>0</v>
      </c>
      <c r="G426" s="10"/>
      <c r="H426" s="45">
        <f>H427+H428+H429+H430+H431</f>
        <v>16409435</v>
      </c>
      <c r="I426" s="10" t="s">
        <v>376</v>
      </c>
      <c r="J426" s="45">
        <f>J427+J428+J429+J430+J431</f>
        <v>17683641</v>
      </c>
      <c r="K426" s="10"/>
      <c r="L426" s="45">
        <f>L427+L428+L429+L430+L431</f>
        <v>17657241</v>
      </c>
      <c r="M426" s="10"/>
      <c r="N426" s="45">
        <f>N427+N428+N429+N430+N431</f>
        <v>17513647</v>
      </c>
      <c r="O426" s="10"/>
      <c r="P426" s="45">
        <f>P427+P428+P429+P430+P431</f>
        <v>17513647</v>
      </c>
      <c r="R426" s="45">
        <f>R427+R428+R429+R430+R431</f>
        <v>7457069.54</v>
      </c>
      <c r="S426" s="117">
        <f t="shared" si="17"/>
        <v>42.57862191695425</v>
      </c>
    </row>
    <row r="427" spans="1:19" ht="15.75">
      <c r="A427" s="1" t="s">
        <v>318</v>
      </c>
      <c r="B427" s="10" t="s">
        <v>114</v>
      </c>
      <c r="C427" s="10" t="s">
        <v>28</v>
      </c>
      <c r="D427" s="10" t="s">
        <v>113</v>
      </c>
      <c r="E427" s="10" t="s">
        <v>313</v>
      </c>
      <c r="F427" s="45">
        <v>0</v>
      </c>
      <c r="G427" s="64">
        <v>14730288</v>
      </c>
      <c r="H427" s="45">
        <f>F427+G427</f>
        <v>14730288</v>
      </c>
      <c r="I427" s="64">
        <v>1734000</v>
      </c>
      <c r="J427" s="45">
        <f>H427+I427</f>
        <v>16464288</v>
      </c>
      <c r="K427" s="64"/>
      <c r="L427" s="45">
        <f>J427+K427</f>
        <v>16464288</v>
      </c>
      <c r="M427" s="64">
        <v>-89394</v>
      </c>
      <c r="N427" s="45">
        <f>L427+M427</f>
        <v>16374894</v>
      </c>
      <c r="O427" s="64"/>
      <c r="P427" s="45">
        <f>N427+O427</f>
        <v>16374894</v>
      </c>
      <c r="R427" s="45">
        <v>6857734.79</v>
      </c>
      <c r="S427" s="117">
        <f t="shared" si="17"/>
        <v>41.87956752575009</v>
      </c>
    </row>
    <row r="428" spans="1:19" ht="31.5">
      <c r="A428" s="1" t="s">
        <v>319</v>
      </c>
      <c r="B428" s="10" t="s">
        <v>114</v>
      </c>
      <c r="C428" s="10" t="s">
        <v>28</v>
      </c>
      <c r="D428" s="10" t="s">
        <v>113</v>
      </c>
      <c r="E428" s="10" t="s">
        <v>314</v>
      </c>
      <c r="F428" s="45">
        <v>0</v>
      </c>
      <c r="G428" s="64">
        <v>45800</v>
      </c>
      <c r="H428" s="45">
        <f>F428+G428</f>
        <v>45800</v>
      </c>
      <c r="I428" s="64">
        <v>0</v>
      </c>
      <c r="J428" s="45">
        <f>H428+I428</f>
        <v>45800</v>
      </c>
      <c r="K428" s="64"/>
      <c r="L428" s="45">
        <f>J428+K428</f>
        <v>45800</v>
      </c>
      <c r="M428" s="64"/>
      <c r="N428" s="45">
        <f>L428+M428</f>
        <v>45800</v>
      </c>
      <c r="O428" s="64"/>
      <c r="P428" s="45">
        <f>N428+O428</f>
        <v>45800</v>
      </c>
      <c r="R428" s="45">
        <v>14483.82</v>
      </c>
      <c r="S428" s="117">
        <f t="shared" si="17"/>
        <v>31.62406113537118</v>
      </c>
    </row>
    <row r="429" spans="1:19" ht="47.25">
      <c r="A429" s="1" t="s">
        <v>320</v>
      </c>
      <c r="B429" s="10" t="s">
        <v>114</v>
      </c>
      <c r="C429" s="10" t="s">
        <v>28</v>
      </c>
      <c r="D429" s="10" t="s">
        <v>113</v>
      </c>
      <c r="E429" s="10" t="s">
        <v>315</v>
      </c>
      <c r="F429" s="45">
        <v>0</v>
      </c>
      <c r="G429" s="64">
        <v>126639</v>
      </c>
      <c r="H429" s="45">
        <f>F429+G429</f>
        <v>126639</v>
      </c>
      <c r="I429" s="64">
        <v>0</v>
      </c>
      <c r="J429" s="45">
        <f>H429+I429</f>
        <v>126639</v>
      </c>
      <c r="K429" s="64"/>
      <c r="L429" s="45">
        <f>J429+K429</f>
        <v>126639</v>
      </c>
      <c r="M429" s="64"/>
      <c r="N429" s="45">
        <f>L429+M429</f>
        <v>126639</v>
      </c>
      <c r="O429" s="64"/>
      <c r="P429" s="45">
        <f>N429+O429</f>
        <v>126639</v>
      </c>
      <c r="R429" s="45">
        <v>49576.36</v>
      </c>
      <c r="S429" s="117">
        <f t="shared" si="17"/>
        <v>39.14778227876089</v>
      </c>
    </row>
    <row r="430" spans="1:19" ht="31.5">
      <c r="A430" s="1" t="s">
        <v>365</v>
      </c>
      <c r="B430" s="10" t="s">
        <v>114</v>
      </c>
      <c r="C430" s="10" t="s">
        <v>28</v>
      </c>
      <c r="D430" s="10" t="s">
        <v>113</v>
      </c>
      <c r="E430" s="10" t="s">
        <v>316</v>
      </c>
      <c r="F430" s="45">
        <v>0</v>
      </c>
      <c r="G430" s="64">
        <v>1326708</v>
      </c>
      <c r="H430" s="45">
        <f>F430+G430</f>
        <v>1326708</v>
      </c>
      <c r="I430" s="64">
        <v>-399794</v>
      </c>
      <c r="J430" s="45">
        <f>H430+I430</f>
        <v>926914</v>
      </c>
      <c r="K430" s="64">
        <v>-26400</v>
      </c>
      <c r="L430" s="45">
        <f>J430+K430</f>
        <v>900514</v>
      </c>
      <c r="M430" s="64">
        <v>-54200</v>
      </c>
      <c r="N430" s="45">
        <f>L430+M430</f>
        <v>846314</v>
      </c>
      <c r="O430" s="64"/>
      <c r="P430" s="45">
        <f>N430+O430</f>
        <v>846314</v>
      </c>
      <c r="R430" s="45">
        <v>496230.77</v>
      </c>
      <c r="S430" s="117">
        <f t="shared" si="17"/>
        <v>58.63435675174935</v>
      </c>
    </row>
    <row r="431" spans="1:19" ht="15.75">
      <c r="A431" s="1" t="s">
        <v>327</v>
      </c>
      <c r="B431" s="10" t="s">
        <v>114</v>
      </c>
      <c r="C431" s="10" t="s">
        <v>28</v>
      </c>
      <c r="D431" s="10" t="s">
        <v>113</v>
      </c>
      <c r="E431" s="10" t="s">
        <v>326</v>
      </c>
      <c r="F431" s="45">
        <v>0</v>
      </c>
      <c r="G431" s="64">
        <v>180000</v>
      </c>
      <c r="H431" s="45">
        <f>F431+G431</f>
        <v>180000</v>
      </c>
      <c r="I431" s="64">
        <v>-60000</v>
      </c>
      <c r="J431" s="45">
        <f>H431+I431</f>
        <v>120000</v>
      </c>
      <c r="K431" s="64"/>
      <c r="L431" s="45">
        <f>J431+K431</f>
        <v>120000</v>
      </c>
      <c r="M431" s="64"/>
      <c r="N431" s="45">
        <f>L431+M431</f>
        <v>120000</v>
      </c>
      <c r="O431" s="64"/>
      <c r="P431" s="45">
        <f>N431+O431</f>
        <v>120000</v>
      </c>
      <c r="R431" s="45">
        <v>39043.8</v>
      </c>
      <c r="S431" s="117">
        <f t="shared" si="17"/>
        <v>32.536500000000004</v>
      </c>
    </row>
    <row r="432" spans="1:19" s="96" customFormat="1" ht="31.5">
      <c r="A432" s="67" t="s">
        <v>667</v>
      </c>
      <c r="B432" s="10" t="s">
        <v>114</v>
      </c>
      <c r="C432" s="10" t="s">
        <v>28</v>
      </c>
      <c r="D432" s="10" t="s">
        <v>668</v>
      </c>
      <c r="E432" s="10"/>
      <c r="F432" s="71"/>
      <c r="G432" s="64"/>
      <c r="H432" s="71"/>
      <c r="I432" s="64"/>
      <c r="J432" s="71"/>
      <c r="K432" s="64"/>
      <c r="L432" s="71"/>
      <c r="M432" s="64"/>
      <c r="N432" s="71">
        <f>N434+N435</f>
        <v>9563200</v>
      </c>
      <c r="O432" s="64"/>
      <c r="P432" s="71">
        <f>P433+P434+P435+P436</f>
        <v>15358200</v>
      </c>
      <c r="R432" s="71">
        <f>R433+R434+R435+R436</f>
        <v>161555.4</v>
      </c>
      <c r="S432" s="117">
        <f t="shared" si="17"/>
        <v>1.0519162401843967</v>
      </c>
    </row>
    <row r="433" spans="1:19" s="96" customFormat="1" ht="47.25">
      <c r="A433" s="1" t="s">
        <v>320</v>
      </c>
      <c r="B433" s="10" t="s">
        <v>114</v>
      </c>
      <c r="C433" s="10" t="s">
        <v>28</v>
      </c>
      <c r="D433" s="10" t="s">
        <v>668</v>
      </c>
      <c r="E433" s="10" t="s">
        <v>315</v>
      </c>
      <c r="F433" s="71"/>
      <c r="G433" s="64"/>
      <c r="H433" s="71"/>
      <c r="I433" s="64"/>
      <c r="J433" s="71"/>
      <c r="K433" s="64"/>
      <c r="L433" s="71"/>
      <c r="M433" s="64"/>
      <c r="N433" s="71"/>
      <c r="O433" s="64">
        <v>4963000</v>
      </c>
      <c r="P433" s="71">
        <f>N433+O433</f>
        <v>4963000</v>
      </c>
      <c r="R433" s="71">
        <v>0</v>
      </c>
      <c r="S433" s="117">
        <f t="shared" si="17"/>
        <v>0</v>
      </c>
    </row>
    <row r="434" spans="1:19" s="96" customFormat="1" ht="47.25">
      <c r="A434" s="67" t="s">
        <v>366</v>
      </c>
      <c r="B434" s="10" t="s">
        <v>114</v>
      </c>
      <c r="C434" s="10" t="s">
        <v>28</v>
      </c>
      <c r="D434" s="10" t="s">
        <v>668</v>
      </c>
      <c r="E434" s="10" t="s">
        <v>325</v>
      </c>
      <c r="F434" s="71"/>
      <c r="G434" s="64"/>
      <c r="H434" s="71"/>
      <c r="I434" s="64"/>
      <c r="J434" s="71"/>
      <c r="K434" s="64"/>
      <c r="L434" s="71"/>
      <c r="M434" s="64">
        <v>4482400</v>
      </c>
      <c r="N434" s="71">
        <f>L434+M434</f>
        <v>4482400</v>
      </c>
      <c r="O434" s="64">
        <v>-1487176</v>
      </c>
      <c r="P434" s="71">
        <f>N434+O434</f>
        <v>2995224</v>
      </c>
      <c r="R434" s="71">
        <v>0</v>
      </c>
      <c r="S434" s="117">
        <f t="shared" si="17"/>
        <v>0</v>
      </c>
    </row>
    <row r="435" spans="1:19" s="96" customFormat="1" ht="31.5">
      <c r="A435" s="67" t="s">
        <v>365</v>
      </c>
      <c r="B435" s="10" t="s">
        <v>114</v>
      </c>
      <c r="C435" s="10" t="s">
        <v>28</v>
      </c>
      <c r="D435" s="10" t="s">
        <v>668</v>
      </c>
      <c r="E435" s="10" t="s">
        <v>316</v>
      </c>
      <c r="F435" s="71"/>
      <c r="G435" s="64"/>
      <c r="H435" s="71"/>
      <c r="I435" s="64"/>
      <c r="J435" s="71"/>
      <c r="K435" s="64"/>
      <c r="L435" s="71"/>
      <c r="M435" s="64">
        <v>5080800</v>
      </c>
      <c r="N435" s="71">
        <f>L435+M435</f>
        <v>5080800</v>
      </c>
      <c r="O435" s="64">
        <v>-57809</v>
      </c>
      <c r="P435" s="71">
        <f>N435+O435</f>
        <v>5022991</v>
      </c>
      <c r="R435" s="71">
        <v>161555.4</v>
      </c>
      <c r="S435" s="117">
        <f t="shared" si="17"/>
        <v>3.2163187232467667</v>
      </c>
    </row>
    <row r="436" spans="1:19" s="96" customFormat="1" ht="31.5">
      <c r="A436" s="1" t="s">
        <v>706</v>
      </c>
      <c r="B436" s="10" t="s">
        <v>114</v>
      </c>
      <c r="C436" s="10" t="s">
        <v>28</v>
      </c>
      <c r="D436" s="10" t="s">
        <v>668</v>
      </c>
      <c r="E436" s="10" t="s">
        <v>705</v>
      </c>
      <c r="F436" s="71"/>
      <c r="G436" s="64"/>
      <c r="H436" s="71"/>
      <c r="I436" s="64"/>
      <c r="J436" s="71"/>
      <c r="K436" s="64"/>
      <c r="L436" s="71"/>
      <c r="M436" s="64"/>
      <c r="N436" s="71"/>
      <c r="O436" s="64">
        <v>2376985</v>
      </c>
      <c r="P436" s="71">
        <f>N436+O436</f>
        <v>2376985</v>
      </c>
      <c r="R436" s="71">
        <v>0</v>
      </c>
      <c r="S436" s="117">
        <f t="shared" si="17"/>
        <v>0</v>
      </c>
    </row>
    <row r="437" spans="1:19" ht="31.5">
      <c r="A437" s="1" t="s">
        <v>155</v>
      </c>
      <c r="B437" s="10" t="s">
        <v>114</v>
      </c>
      <c r="C437" s="10" t="s">
        <v>28</v>
      </c>
      <c r="D437" s="10" t="s">
        <v>35</v>
      </c>
      <c r="E437" s="10"/>
      <c r="F437" s="45" t="e">
        <f>F438+F441+F449+F463+#REF!+#REF!+#REF!</f>
        <v>#REF!</v>
      </c>
      <c r="G437" s="10"/>
      <c r="H437" s="45">
        <f>H438+H441+H449+H463</f>
        <v>269874000</v>
      </c>
      <c r="I437" s="10" t="s">
        <v>376</v>
      </c>
      <c r="J437" s="45">
        <f>J438+J441+J449+J463</f>
        <v>269874000</v>
      </c>
      <c r="K437" s="10"/>
      <c r="L437" s="45">
        <f>L438+L441+L449+L463</f>
        <v>269904000</v>
      </c>
      <c r="M437" s="10"/>
      <c r="N437" s="45">
        <f>N438+N441+N449+N463+N445</f>
        <v>274365000</v>
      </c>
      <c r="O437" s="10"/>
      <c r="P437" s="45">
        <f>P438+P441+P449+P463+P445+P447</f>
        <v>283681428</v>
      </c>
      <c r="R437" s="45">
        <f>R438+R441+R449+R463+R445+R447</f>
        <v>119915029.14999999</v>
      </c>
      <c r="S437" s="117">
        <f t="shared" si="17"/>
        <v>42.27101858426911</v>
      </c>
    </row>
    <row r="438" spans="1:19" s="96" customFormat="1" ht="32.25" customHeight="1">
      <c r="A438" s="67" t="s">
        <v>121</v>
      </c>
      <c r="B438" s="10" t="s">
        <v>114</v>
      </c>
      <c r="C438" s="10" t="s">
        <v>28</v>
      </c>
      <c r="D438" s="10" t="s">
        <v>122</v>
      </c>
      <c r="E438" s="10"/>
      <c r="F438" s="71">
        <f>F439</f>
        <v>0</v>
      </c>
      <c r="G438" s="10"/>
      <c r="H438" s="71">
        <f>H439</f>
        <v>0</v>
      </c>
      <c r="I438" s="10"/>
      <c r="J438" s="71">
        <f>J439</f>
        <v>0</v>
      </c>
      <c r="K438" s="10"/>
      <c r="L438" s="71">
        <f>L439</f>
        <v>0</v>
      </c>
      <c r="M438" s="10"/>
      <c r="N438" s="71">
        <f>N439+N440</f>
        <v>2999000</v>
      </c>
      <c r="O438" s="10"/>
      <c r="P438" s="71">
        <f>P439+P440</f>
        <v>2999000</v>
      </c>
      <c r="R438" s="71">
        <f>R439+R440</f>
        <v>1131765.88</v>
      </c>
      <c r="S438" s="117">
        <f t="shared" si="17"/>
        <v>37.738108702900966</v>
      </c>
    </row>
    <row r="439" spans="1:19" s="96" customFormat="1" ht="15" customHeight="1">
      <c r="A439" s="67" t="s">
        <v>318</v>
      </c>
      <c r="B439" s="10" t="s">
        <v>114</v>
      </c>
      <c r="C439" s="10" t="s">
        <v>28</v>
      </c>
      <c r="D439" s="10" t="s">
        <v>122</v>
      </c>
      <c r="E439" s="10" t="s">
        <v>313</v>
      </c>
      <c r="F439" s="71">
        <v>0</v>
      </c>
      <c r="G439" s="10"/>
      <c r="H439" s="71">
        <f>F439+G439</f>
        <v>0</v>
      </c>
      <c r="I439" s="10"/>
      <c r="J439" s="71">
        <f>H439+I439</f>
        <v>0</v>
      </c>
      <c r="K439" s="10"/>
      <c r="L439" s="71">
        <f>J439+K439</f>
        <v>0</v>
      </c>
      <c r="M439" s="68">
        <f>2999000-94254</f>
        <v>2904746</v>
      </c>
      <c r="N439" s="71">
        <f>L439+M439</f>
        <v>2904746</v>
      </c>
      <c r="O439" s="68"/>
      <c r="P439" s="71">
        <f>N439+O439</f>
        <v>2904746</v>
      </c>
      <c r="R439" s="71">
        <v>1131765.88</v>
      </c>
      <c r="S439" s="117">
        <f t="shared" si="17"/>
        <v>38.96264527087738</v>
      </c>
    </row>
    <row r="440" spans="1:19" s="96" customFormat="1" ht="31.5">
      <c r="A440" s="1" t="s">
        <v>706</v>
      </c>
      <c r="B440" s="10" t="s">
        <v>114</v>
      </c>
      <c r="C440" s="10" t="s">
        <v>28</v>
      </c>
      <c r="D440" s="10" t="s">
        <v>122</v>
      </c>
      <c r="E440" s="10" t="s">
        <v>705</v>
      </c>
      <c r="F440" s="71"/>
      <c r="G440" s="10"/>
      <c r="H440" s="71"/>
      <c r="I440" s="10"/>
      <c r="J440" s="71"/>
      <c r="K440" s="10"/>
      <c r="L440" s="71"/>
      <c r="M440" s="68">
        <v>94254</v>
      </c>
      <c r="N440" s="71">
        <f>L440+M440</f>
        <v>94254</v>
      </c>
      <c r="O440" s="68"/>
      <c r="P440" s="71">
        <f>N440+O440</f>
        <v>94254</v>
      </c>
      <c r="R440" s="71">
        <v>0</v>
      </c>
      <c r="S440" s="117">
        <f t="shared" si="17"/>
        <v>0</v>
      </c>
    </row>
    <row r="441" spans="1:19" s="96" customFormat="1" ht="48" customHeight="1">
      <c r="A441" s="32" t="s">
        <v>175</v>
      </c>
      <c r="B441" s="8" t="s">
        <v>114</v>
      </c>
      <c r="C441" s="8" t="s">
        <v>28</v>
      </c>
      <c r="D441" s="8" t="s">
        <v>328</v>
      </c>
      <c r="E441" s="8"/>
      <c r="F441" s="71">
        <f>F442</f>
        <v>0</v>
      </c>
      <c r="G441" s="8"/>
      <c r="H441" s="71">
        <f>H442</f>
        <v>11802000</v>
      </c>
      <c r="I441" s="8" t="s">
        <v>376</v>
      </c>
      <c r="J441" s="71">
        <f>J442</f>
        <v>11802000</v>
      </c>
      <c r="K441" s="8"/>
      <c r="L441" s="71">
        <f>L442</f>
        <v>11802000</v>
      </c>
      <c r="M441" s="8"/>
      <c r="N441" s="71">
        <f>N442+N443</f>
        <v>11802000</v>
      </c>
      <c r="O441" s="8"/>
      <c r="P441" s="71">
        <f>P442+P443+P444</f>
        <v>11802000</v>
      </c>
      <c r="R441" s="71">
        <f>R442+R443+R444</f>
        <v>6650963.87</v>
      </c>
      <c r="S441" s="117">
        <f t="shared" si="17"/>
        <v>56.35454897475004</v>
      </c>
    </row>
    <row r="442" spans="1:19" s="96" customFormat="1" ht="32.25" customHeight="1">
      <c r="A442" s="67" t="s">
        <v>365</v>
      </c>
      <c r="B442" s="8" t="s">
        <v>114</v>
      </c>
      <c r="C442" s="8" t="s">
        <v>28</v>
      </c>
      <c r="D442" s="8" t="s">
        <v>328</v>
      </c>
      <c r="E442" s="8" t="s">
        <v>316</v>
      </c>
      <c r="F442" s="71">
        <v>0</v>
      </c>
      <c r="G442" s="73">
        <v>11802000</v>
      </c>
      <c r="H442" s="71">
        <f>F442+G442</f>
        <v>11802000</v>
      </c>
      <c r="I442" s="73">
        <v>0</v>
      </c>
      <c r="J442" s="71">
        <f>H442+I442</f>
        <v>11802000</v>
      </c>
      <c r="K442" s="73"/>
      <c r="L442" s="71">
        <f>J442+K442</f>
        <v>11802000</v>
      </c>
      <c r="M442" s="73">
        <v>-174721.18</v>
      </c>
      <c r="N442" s="71">
        <f>L442+M442</f>
        <v>11627278.82</v>
      </c>
      <c r="O442" s="73">
        <v>-290248.93</v>
      </c>
      <c r="P442" s="71">
        <f>N442+O442</f>
        <v>11337029.89</v>
      </c>
      <c r="R442" s="71">
        <v>6650963.87</v>
      </c>
      <c r="S442" s="117">
        <f t="shared" si="17"/>
        <v>58.66584047614255</v>
      </c>
    </row>
    <row r="443" spans="1:19" s="96" customFormat="1" ht="78.75">
      <c r="A443" s="1" t="s">
        <v>707</v>
      </c>
      <c r="B443" s="8" t="s">
        <v>114</v>
      </c>
      <c r="C443" s="8" t="s">
        <v>28</v>
      </c>
      <c r="D443" s="8" t="s">
        <v>328</v>
      </c>
      <c r="E443" s="8" t="s">
        <v>703</v>
      </c>
      <c r="F443" s="71"/>
      <c r="G443" s="73"/>
      <c r="H443" s="71"/>
      <c r="I443" s="73"/>
      <c r="J443" s="71"/>
      <c r="K443" s="73"/>
      <c r="L443" s="71"/>
      <c r="M443" s="73">
        <v>174721.18</v>
      </c>
      <c r="N443" s="71">
        <f>L443+M443</f>
        <v>174721.18</v>
      </c>
      <c r="O443" s="73"/>
      <c r="P443" s="71">
        <f>N443+O443</f>
        <v>174721.18</v>
      </c>
      <c r="R443" s="71">
        <v>0</v>
      </c>
      <c r="S443" s="117">
        <f t="shared" si="17"/>
        <v>0</v>
      </c>
    </row>
    <row r="444" spans="1:19" s="96" customFormat="1" ht="31.5">
      <c r="A444" s="1" t="s">
        <v>706</v>
      </c>
      <c r="B444" s="8" t="s">
        <v>114</v>
      </c>
      <c r="C444" s="8" t="s">
        <v>28</v>
      </c>
      <c r="D444" s="8" t="s">
        <v>328</v>
      </c>
      <c r="E444" s="8" t="s">
        <v>705</v>
      </c>
      <c r="F444" s="71"/>
      <c r="G444" s="73"/>
      <c r="H444" s="71"/>
      <c r="I444" s="73"/>
      <c r="J444" s="71"/>
      <c r="K444" s="73"/>
      <c r="L444" s="71"/>
      <c r="M444" s="73"/>
      <c r="N444" s="71"/>
      <c r="O444" s="73">
        <v>290248.93</v>
      </c>
      <c r="P444" s="71">
        <f>N444+O444</f>
        <v>290248.93</v>
      </c>
      <c r="R444" s="71">
        <v>0</v>
      </c>
      <c r="S444" s="117">
        <f t="shared" si="17"/>
        <v>0</v>
      </c>
    </row>
    <row r="445" spans="1:19" s="96" customFormat="1" ht="78.75">
      <c r="A445" s="67" t="s">
        <v>669</v>
      </c>
      <c r="B445" s="10" t="s">
        <v>114</v>
      </c>
      <c r="C445" s="10" t="s">
        <v>28</v>
      </c>
      <c r="D445" s="10" t="s">
        <v>664</v>
      </c>
      <c r="E445" s="8"/>
      <c r="F445" s="71"/>
      <c r="G445" s="73"/>
      <c r="H445" s="71"/>
      <c r="I445" s="73"/>
      <c r="J445" s="71"/>
      <c r="K445" s="73"/>
      <c r="L445" s="71"/>
      <c r="M445" s="73"/>
      <c r="N445" s="71">
        <f>N446</f>
        <v>734000</v>
      </c>
      <c r="O445" s="73"/>
      <c r="P445" s="71">
        <f>P446</f>
        <v>1531000</v>
      </c>
      <c r="R445" s="71">
        <f>R446</f>
        <v>0</v>
      </c>
      <c r="S445" s="117">
        <f t="shared" si="17"/>
        <v>0</v>
      </c>
    </row>
    <row r="446" spans="1:19" s="96" customFormat="1" ht="15.75">
      <c r="A446" s="67" t="s">
        <v>318</v>
      </c>
      <c r="B446" s="10" t="s">
        <v>114</v>
      </c>
      <c r="C446" s="10" t="s">
        <v>28</v>
      </c>
      <c r="D446" s="10" t="s">
        <v>664</v>
      </c>
      <c r="E446" s="8" t="s">
        <v>313</v>
      </c>
      <c r="F446" s="71"/>
      <c r="G446" s="73"/>
      <c r="H446" s="71"/>
      <c r="I446" s="73"/>
      <c r="J446" s="71"/>
      <c r="K446" s="73"/>
      <c r="L446" s="71"/>
      <c r="M446" s="73">
        <v>734000</v>
      </c>
      <c r="N446" s="71">
        <f>L446+M446</f>
        <v>734000</v>
      </c>
      <c r="O446" s="73">
        <f>1119000-322000</f>
        <v>797000</v>
      </c>
      <c r="P446" s="71">
        <f>N446+O446</f>
        <v>1531000</v>
      </c>
      <c r="R446" s="71">
        <v>0</v>
      </c>
      <c r="S446" s="117">
        <f t="shared" si="17"/>
        <v>0</v>
      </c>
    </row>
    <row r="447" spans="1:19" s="96" customFormat="1" ht="94.5">
      <c r="A447" s="32" t="s">
        <v>756</v>
      </c>
      <c r="B447" s="10" t="s">
        <v>114</v>
      </c>
      <c r="C447" s="8" t="s">
        <v>28</v>
      </c>
      <c r="D447" s="8" t="s">
        <v>758</v>
      </c>
      <c r="E447" s="8"/>
      <c r="F447" s="106"/>
      <c r="G447" s="107"/>
      <c r="H447" s="106"/>
      <c r="I447" s="107"/>
      <c r="J447" s="106"/>
      <c r="K447" s="108"/>
      <c r="L447" s="106"/>
      <c r="M447" s="108"/>
      <c r="N447" s="106"/>
      <c r="O447" s="108"/>
      <c r="P447" s="106">
        <f>P448</f>
        <v>27428</v>
      </c>
      <c r="R447" s="106">
        <f>R448</f>
        <v>0</v>
      </c>
      <c r="S447" s="117">
        <f t="shared" si="17"/>
        <v>0</v>
      </c>
    </row>
    <row r="448" spans="1:19" s="96" customFormat="1" ht="15.75">
      <c r="A448" s="67" t="s">
        <v>318</v>
      </c>
      <c r="B448" s="10" t="s">
        <v>114</v>
      </c>
      <c r="C448" s="8" t="s">
        <v>28</v>
      </c>
      <c r="D448" s="8" t="s">
        <v>758</v>
      </c>
      <c r="E448" s="8" t="s">
        <v>313</v>
      </c>
      <c r="F448" s="106"/>
      <c r="G448" s="107"/>
      <c r="H448" s="106"/>
      <c r="I448" s="107"/>
      <c r="J448" s="106"/>
      <c r="K448" s="108"/>
      <c r="L448" s="106"/>
      <c r="M448" s="108"/>
      <c r="N448" s="106"/>
      <c r="O448" s="108">
        <f>553000-10100-515472</f>
        <v>27428</v>
      </c>
      <c r="P448" s="106">
        <f>N448+O448</f>
        <v>27428</v>
      </c>
      <c r="R448" s="106">
        <v>0</v>
      </c>
      <c r="S448" s="117">
        <f t="shared" si="17"/>
        <v>0</v>
      </c>
    </row>
    <row r="449" spans="1:19" ht="283.5">
      <c r="A449" s="34" t="s">
        <v>223</v>
      </c>
      <c r="B449" s="8" t="s">
        <v>114</v>
      </c>
      <c r="C449" s="8" t="s">
        <v>28</v>
      </c>
      <c r="D449" s="8" t="s">
        <v>347</v>
      </c>
      <c r="E449" s="8"/>
      <c r="F449" s="45">
        <f>F450+F455+F459</f>
        <v>0</v>
      </c>
      <c r="G449" s="8"/>
      <c r="H449" s="45">
        <v>258072000</v>
      </c>
      <c r="I449" s="8"/>
      <c r="J449" s="45">
        <v>258072000</v>
      </c>
      <c r="K449" s="8"/>
      <c r="L449" s="45">
        <f>L450+L455+L459</f>
        <v>258072000</v>
      </c>
      <c r="M449" s="8"/>
      <c r="N449" s="45">
        <f>N450+N455+N459</f>
        <v>258800000</v>
      </c>
      <c r="O449" s="8"/>
      <c r="P449" s="45">
        <f>P450+P455+P459</f>
        <v>267292000</v>
      </c>
      <c r="R449" s="45">
        <f>R450+R455+R459</f>
        <v>112117899.39999999</v>
      </c>
      <c r="S449" s="117">
        <f t="shared" si="17"/>
        <v>41.945849258488835</v>
      </c>
    </row>
    <row r="450" spans="1:19" ht="204.75">
      <c r="A450" s="6" t="s">
        <v>329</v>
      </c>
      <c r="B450" s="10" t="s">
        <v>114</v>
      </c>
      <c r="C450" s="10" t="s">
        <v>28</v>
      </c>
      <c r="D450" s="10" t="s">
        <v>330</v>
      </c>
      <c r="E450" s="10"/>
      <c r="F450" s="45">
        <f>F451+F452</f>
        <v>0</v>
      </c>
      <c r="G450" s="10"/>
      <c r="H450" s="45">
        <f>H451+H452</f>
        <v>0</v>
      </c>
      <c r="I450" s="10"/>
      <c r="J450" s="45">
        <f>J451+J452</f>
        <v>0</v>
      </c>
      <c r="K450" s="10"/>
      <c r="L450" s="45">
        <f>L451+L452</f>
        <v>255119000</v>
      </c>
      <c r="M450" s="10"/>
      <c r="N450" s="45">
        <f>N451+N452+N453</f>
        <v>255119000</v>
      </c>
      <c r="O450" s="10"/>
      <c r="P450" s="45">
        <f>P451+P452+P453+P454</f>
        <v>263611000</v>
      </c>
      <c r="R450" s="45">
        <f>R451+R452+R453+R454</f>
        <v>110910429.16</v>
      </c>
      <c r="S450" s="117">
        <f t="shared" si="17"/>
        <v>42.07352089252724</v>
      </c>
    </row>
    <row r="451" spans="1:19" ht="18.75" customHeight="1">
      <c r="A451" s="1" t="s">
        <v>318</v>
      </c>
      <c r="B451" s="10" t="s">
        <v>114</v>
      </c>
      <c r="C451" s="10" t="s">
        <v>28</v>
      </c>
      <c r="D451" s="10" t="s">
        <v>330</v>
      </c>
      <c r="E451" s="10" t="s">
        <v>313</v>
      </c>
      <c r="F451" s="45">
        <v>0</v>
      </c>
      <c r="G451" s="64"/>
      <c r="H451" s="45">
        <f>F451+G451</f>
        <v>0</v>
      </c>
      <c r="I451" s="64"/>
      <c r="J451" s="45">
        <f>H451+I451</f>
        <v>0</v>
      </c>
      <c r="K451" s="64">
        <v>254532800</v>
      </c>
      <c r="L451" s="45">
        <f>J451+K451</f>
        <v>254532800</v>
      </c>
      <c r="M451" s="64">
        <v>-9302630.79</v>
      </c>
      <c r="N451" s="45">
        <f>L451+M451</f>
        <v>245230169.21</v>
      </c>
      <c r="O451" s="105">
        <f>8492000-555891</f>
        <v>7936109</v>
      </c>
      <c r="P451" s="45">
        <f>N451+O451</f>
        <v>253166278.21</v>
      </c>
      <c r="R451" s="45">
        <v>107406947.42</v>
      </c>
      <c r="S451" s="117">
        <f t="shared" si="17"/>
        <v>42.425455783217124</v>
      </c>
    </row>
    <row r="452" spans="1:19" ht="33" customHeight="1">
      <c r="A452" s="1" t="s">
        <v>319</v>
      </c>
      <c r="B452" s="10" t="s">
        <v>114</v>
      </c>
      <c r="C452" s="10" t="s">
        <v>28</v>
      </c>
      <c r="D452" s="10" t="s">
        <v>330</v>
      </c>
      <c r="E452" s="10" t="s">
        <v>314</v>
      </c>
      <c r="F452" s="45">
        <v>0</v>
      </c>
      <c r="G452" s="10"/>
      <c r="H452" s="45">
        <f>F452+G452</f>
        <v>0</v>
      </c>
      <c r="I452" s="10"/>
      <c r="J452" s="45">
        <f>H452+I452</f>
        <v>0</v>
      </c>
      <c r="K452" s="64">
        <v>586200</v>
      </c>
      <c r="L452" s="45">
        <f>J452+K452</f>
        <v>586200</v>
      </c>
      <c r="M452" s="64">
        <v>-18000</v>
      </c>
      <c r="N452" s="45">
        <f>L452+M452</f>
        <v>568200</v>
      </c>
      <c r="O452" s="64"/>
      <c r="P452" s="45">
        <f>N452+O452</f>
        <v>568200</v>
      </c>
      <c r="R452" s="45">
        <v>236081.74</v>
      </c>
      <c r="S452" s="117">
        <f t="shared" si="17"/>
        <v>41.54905667018655</v>
      </c>
    </row>
    <row r="453" spans="1:19" ht="78.75">
      <c r="A453" s="1" t="s">
        <v>707</v>
      </c>
      <c r="B453" s="10" t="s">
        <v>114</v>
      </c>
      <c r="C453" s="10" t="s">
        <v>28</v>
      </c>
      <c r="D453" s="10" t="s">
        <v>330</v>
      </c>
      <c r="E453" s="10" t="s">
        <v>703</v>
      </c>
      <c r="F453" s="45"/>
      <c r="G453" s="10"/>
      <c r="H453" s="45"/>
      <c r="I453" s="10"/>
      <c r="J453" s="45"/>
      <c r="K453" s="64"/>
      <c r="L453" s="45"/>
      <c r="M453" s="64">
        <v>9320630.79</v>
      </c>
      <c r="N453" s="45">
        <f>L453+M453</f>
        <v>9320630.79</v>
      </c>
      <c r="O453" s="64"/>
      <c r="P453" s="45">
        <f>N453+O453</f>
        <v>9320630.79</v>
      </c>
      <c r="R453" s="45">
        <v>3267400</v>
      </c>
      <c r="S453" s="117">
        <f t="shared" si="17"/>
        <v>35.05556730672732</v>
      </c>
    </row>
    <row r="454" spans="1:19" ht="31.5">
      <c r="A454" s="1" t="s">
        <v>706</v>
      </c>
      <c r="B454" s="10" t="s">
        <v>114</v>
      </c>
      <c r="C454" s="10" t="s">
        <v>28</v>
      </c>
      <c r="D454" s="10" t="s">
        <v>330</v>
      </c>
      <c r="E454" s="10" t="s">
        <v>705</v>
      </c>
      <c r="F454" s="45"/>
      <c r="G454" s="10"/>
      <c r="H454" s="45"/>
      <c r="I454" s="10"/>
      <c r="J454" s="45"/>
      <c r="K454" s="64"/>
      <c r="L454" s="45"/>
      <c r="M454" s="64"/>
      <c r="N454" s="45"/>
      <c r="O454" s="64">
        <v>555891</v>
      </c>
      <c r="P454" s="45">
        <f>N454+O454</f>
        <v>555891</v>
      </c>
      <c r="R454" s="45">
        <v>0</v>
      </c>
      <c r="S454" s="117">
        <f t="shared" si="17"/>
        <v>0</v>
      </c>
    </row>
    <row r="455" spans="1:19" ht="252">
      <c r="A455" s="6" t="s">
        <v>331</v>
      </c>
      <c r="B455" s="10" t="s">
        <v>114</v>
      </c>
      <c r="C455" s="10" t="s">
        <v>28</v>
      </c>
      <c r="D455" s="10" t="s">
        <v>332</v>
      </c>
      <c r="E455" s="10"/>
      <c r="F455" s="45">
        <f>F456+F457</f>
        <v>0</v>
      </c>
      <c r="G455" s="10"/>
      <c r="H455" s="45">
        <f>H456+H457</f>
        <v>0</v>
      </c>
      <c r="I455" s="10"/>
      <c r="J455" s="45">
        <f>J456+J457</f>
        <v>0</v>
      </c>
      <c r="K455" s="10"/>
      <c r="L455" s="45">
        <f>L456+L457</f>
        <v>1165000</v>
      </c>
      <c r="M455" s="10"/>
      <c r="N455" s="45">
        <f>N456+N457+N458</f>
        <v>1893000</v>
      </c>
      <c r="O455" s="10"/>
      <c r="P455" s="45">
        <f>P456+P457+P458</f>
        <v>1987687.13</v>
      </c>
      <c r="Q455" s="99"/>
      <c r="R455" s="45">
        <f>R456+R457+R458</f>
        <v>787510.5</v>
      </c>
      <c r="S455" s="117">
        <f t="shared" si="17"/>
        <v>39.61943950404307</v>
      </c>
    </row>
    <row r="456" spans="1:19" ht="46.5" customHeight="1">
      <c r="A456" s="6" t="s">
        <v>320</v>
      </c>
      <c r="B456" s="10" t="s">
        <v>114</v>
      </c>
      <c r="C456" s="10" t="s">
        <v>28</v>
      </c>
      <c r="D456" s="10" t="s">
        <v>332</v>
      </c>
      <c r="E456" s="10" t="s">
        <v>315</v>
      </c>
      <c r="F456" s="45">
        <v>0</v>
      </c>
      <c r="G456" s="10" t="s">
        <v>376</v>
      </c>
      <c r="H456" s="45">
        <f>F456+G456</f>
        <v>0</v>
      </c>
      <c r="I456" s="10" t="s">
        <v>376</v>
      </c>
      <c r="J456" s="45">
        <f>H456+I456</f>
        <v>0</v>
      </c>
      <c r="K456" s="64">
        <v>130000</v>
      </c>
      <c r="L456" s="45">
        <f>J456+K456</f>
        <v>130000</v>
      </c>
      <c r="M456" s="64">
        <v>-10000</v>
      </c>
      <c r="N456" s="45">
        <f>L456+M456</f>
        <v>120000</v>
      </c>
      <c r="O456" s="64"/>
      <c r="P456" s="45">
        <f>N456+O456</f>
        <v>120000</v>
      </c>
      <c r="R456" s="45">
        <v>3545</v>
      </c>
      <c r="S456" s="117">
        <f t="shared" si="17"/>
        <v>2.9541666666666666</v>
      </c>
    </row>
    <row r="457" spans="1:19" ht="34.5" customHeight="1">
      <c r="A457" s="1" t="s">
        <v>365</v>
      </c>
      <c r="B457" s="10" t="s">
        <v>114</v>
      </c>
      <c r="C457" s="10" t="s">
        <v>28</v>
      </c>
      <c r="D457" s="10" t="s">
        <v>332</v>
      </c>
      <c r="E457" s="10" t="s">
        <v>316</v>
      </c>
      <c r="F457" s="45">
        <v>0</v>
      </c>
      <c r="G457" s="10" t="s">
        <v>376</v>
      </c>
      <c r="H457" s="45">
        <f>F457+G457</f>
        <v>0</v>
      </c>
      <c r="I457" s="10" t="s">
        <v>376</v>
      </c>
      <c r="J457" s="45">
        <f>H457+I457</f>
        <v>0</v>
      </c>
      <c r="K457" s="64">
        <v>1035000</v>
      </c>
      <c r="L457" s="45">
        <f>J457+K457</f>
        <v>1035000</v>
      </c>
      <c r="M457" s="64">
        <f>705800-75000</f>
        <v>630800</v>
      </c>
      <c r="N457" s="45">
        <f>L457+M457</f>
        <v>1665800</v>
      </c>
      <c r="O457" s="64">
        <v>94687.13</v>
      </c>
      <c r="P457" s="45">
        <f>N457+O457</f>
        <v>1760487.13</v>
      </c>
      <c r="R457" s="45">
        <v>702265.5</v>
      </c>
      <c r="S457" s="117">
        <f t="shared" si="17"/>
        <v>39.89040805995555</v>
      </c>
    </row>
    <row r="458" spans="1:19" ht="78.75">
      <c r="A458" s="1" t="s">
        <v>707</v>
      </c>
      <c r="B458" s="10" t="s">
        <v>114</v>
      </c>
      <c r="C458" s="10" t="s">
        <v>28</v>
      </c>
      <c r="D458" s="10" t="s">
        <v>332</v>
      </c>
      <c r="E458" s="10" t="s">
        <v>703</v>
      </c>
      <c r="F458" s="45"/>
      <c r="G458" s="10"/>
      <c r="H458" s="45"/>
      <c r="I458" s="10"/>
      <c r="J458" s="45"/>
      <c r="K458" s="64"/>
      <c r="L458" s="45"/>
      <c r="M458" s="64">
        <f>22200+85000</f>
        <v>107200</v>
      </c>
      <c r="N458" s="45">
        <f>L458+M458</f>
        <v>107200</v>
      </c>
      <c r="O458" s="64"/>
      <c r="P458" s="45">
        <f>N458+O458</f>
        <v>107200</v>
      </c>
      <c r="R458" s="45">
        <v>81700</v>
      </c>
      <c r="S458" s="117">
        <f t="shared" si="17"/>
        <v>76.21268656716418</v>
      </c>
    </row>
    <row r="459" spans="1:19" ht="204.75">
      <c r="A459" s="6" t="s">
        <v>333</v>
      </c>
      <c r="B459" s="10" t="s">
        <v>114</v>
      </c>
      <c r="C459" s="10" t="s">
        <v>28</v>
      </c>
      <c r="D459" s="10" t="s">
        <v>334</v>
      </c>
      <c r="E459" s="10"/>
      <c r="F459" s="45">
        <f>F460+F461</f>
        <v>0</v>
      </c>
      <c r="G459" s="10"/>
      <c r="H459" s="45">
        <f>H460+H461</f>
        <v>0</v>
      </c>
      <c r="I459" s="10"/>
      <c r="J459" s="45">
        <f>J460+J461</f>
        <v>0</v>
      </c>
      <c r="K459" s="10"/>
      <c r="L459" s="45">
        <f>L460+L461</f>
        <v>1788000</v>
      </c>
      <c r="M459" s="10"/>
      <c r="N459" s="45">
        <f>N460+N461+N462</f>
        <v>1788000</v>
      </c>
      <c r="O459" s="10"/>
      <c r="P459" s="45">
        <f>P460+P461+P462</f>
        <v>1693312.8699999999</v>
      </c>
      <c r="R459" s="45">
        <f>R460+R461+R462</f>
        <v>419959.74</v>
      </c>
      <c r="S459" s="117">
        <f t="shared" si="17"/>
        <v>24.801071759408526</v>
      </c>
    </row>
    <row r="460" spans="1:19" ht="48.75" customHeight="1">
      <c r="A460" s="6" t="s">
        <v>320</v>
      </c>
      <c r="B460" s="10" t="s">
        <v>114</v>
      </c>
      <c r="C460" s="10" t="s">
        <v>28</v>
      </c>
      <c r="D460" s="10" t="s">
        <v>334</v>
      </c>
      <c r="E460" s="10" t="s">
        <v>315</v>
      </c>
      <c r="F460" s="45">
        <v>0</v>
      </c>
      <c r="G460" s="68">
        <v>0</v>
      </c>
      <c r="H460" s="45">
        <f>F460+G460</f>
        <v>0</v>
      </c>
      <c r="I460" s="68">
        <v>0</v>
      </c>
      <c r="J460" s="45">
        <f>H460+I460</f>
        <v>0</v>
      </c>
      <c r="K460" s="64">
        <v>1383446.94</v>
      </c>
      <c r="L460" s="45">
        <f>J460+K460</f>
        <v>1383446.94</v>
      </c>
      <c r="M460" s="64">
        <v>-40954</v>
      </c>
      <c r="N460" s="45">
        <f>L460+M460</f>
        <v>1342492.94</v>
      </c>
      <c r="O460" s="64"/>
      <c r="P460" s="45">
        <f>N460+O460</f>
        <v>1342492.94</v>
      </c>
      <c r="R460" s="45">
        <v>393137.74</v>
      </c>
      <c r="S460" s="117">
        <f t="shared" si="17"/>
        <v>29.28415698037116</v>
      </c>
    </row>
    <row r="461" spans="1:19" ht="31.5">
      <c r="A461" s="1" t="s">
        <v>365</v>
      </c>
      <c r="B461" s="10" t="s">
        <v>114</v>
      </c>
      <c r="C461" s="10" t="s">
        <v>28</v>
      </c>
      <c r="D461" s="10" t="s">
        <v>334</v>
      </c>
      <c r="E461" s="10" t="s">
        <v>316</v>
      </c>
      <c r="F461" s="45">
        <v>0</v>
      </c>
      <c r="G461" s="10" t="s">
        <v>376</v>
      </c>
      <c r="H461" s="45">
        <f>F461+G461</f>
        <v>0</v>
      </c>
      <c r="I461" s="10" t="s">
        <v>376</v>
      </c>
      <c r="J461" s="45">
        <f>H461+I461</f>
        <v>0</v>
      </c>
      <c r="K461" s="64">
        <v>404553.06</v>
      </c>
      <c r="L461" s="45">
        <f>J461+K461</f>
        <v>404553.06</v>
      </c>
      <c r="M461" s="64">
        <v>-34000</v>
      </c>
      <c r="N461" s="45">
        <f>L461+M461</f>
        <v>370553.06</v>
      </c>
      <c r="O461" s="64">
        <v>-94687.13</v>
      </c>
      <c r="P461" s="45">
        <f>N461+O461</f>
        <v>275865.93</v>
      </c>
      <c r="R461" s="45">
        <v>23400</v>
      </c>
      <c r="S461" s="117">
        <f aca="true" t="shared" si="21" ref="S461:S524">R461/P461*100</f>
        <v>8.482381278471031</v>
      </c>
    </row>
    <row r="462" spans="1:19" ht="78.75">
      <c r="A462" s="1" t="s">
        <v>707</v>
      </c>
      <c r="B462" s="10" t="s">
        <v>114</v>
      </c>
      <c r="C462" s="10" t="s">
        <v>28</v>
      </c>
      <c r="D462" s="10" t="s">
        <v>334</v>
      </c>
      <c r="E462" s="10" t="s">
        <v>703</v>
      </c>
      <c r="F462" s="45"/>
      <c r="G462" s="10"/>
      <c r="H462" s="45"/>
      <c r="I462" s="10"/>
      <c r="J462" s="45"/>
      <c r="K462" s="64"/>
      <c r="L462" s="45"/>
      <c r="M462" s="64">
        <v>74954</v>
      </c>
      <c r="N462" s="45">
        <f>L462+M462</f>
        <v>74954</v>
      </c>
      <c r="O462" s="64"/>
      <c r="P462" s="45">
        <f>N462+O462</f>
        <v>74954</v>
      </c>
      <c r="R462" s="45">
        <v>3422</v>
      </c>
      <c r="S462" s="117">
        <f t="shared" si="21"/>
        <v>4.5654668196493855</v>
      </c>
    </row>
    <row r="463" spans="1:19" ht="161.25" customHeight="1">
      <c r="A463" s="6" t="s">
        <v>224</v>
      </c>
      <c r="B463" s="10" t="s">
        <v>114</v>
      </c>
      <c r="C463" s="10" t="s">
        <v>28</v>
      </c>
      <c r="D463" s="10" t="s">
        <v>335</v>
      </c>
      <c r="E463" s="10"/>
      <c r="F463" s="45">
        <f>F464</f>
        <v>0</v>
      </c>
      <c r="G463" s="10"/>
      <c r="H463" s="45">
        <f>H464</f>
        <v>0</v>
      </c>
      <c r="I463" s="10"/>
      <c r="J463" s="45">
        <f>J464</f>
        <v>0</v>
      </c>
      <c r="K463" s="10"/>
      <c r="L463" s="45">
        <f>L464</f>
        <v>30000</v>
      </c>
      <c r="M463" s="10"/>
      <c r="N463" s="45">
        <f>N464+N465</f>
        <v>30000</v>
      </c>
      <c r="O463" s="10"/>
      <c r="P463" s="45">
        <f>P464+P465</f>
        <v>30000</v>
      </c>
      <c r="R463" s="45">
        <f>R464+R465</f>
        <v>14400</v>
      </c>
      <c r="S463" s="117">
        <f t="shared" si="21"/>
        <v>48</v>
      </c>
    </row>
    <row r="464" spans="1:19" ht="48.75" customHeight="1">
      <c r="A464" s="1" t="s">
        <v>349</v>
      </c>
      <c r="B464" s="10" t="s">
        <v>114</v>
      </c>
      <c r="C464" s="10" t="s">
        <v>28</v>
      </c>
      <c r="D464" s="10" t="s">
        <v>335</v>
      </c>
      <c r="E464" s="10" t="s">
        <v>336</v>
      </c>
      <c r="F464" s="45">
        <v>0</v>
      </c>
      <c r="G464" s="10"/>
      <c r="H464" s="45">
        <f>F464+G464</f>
        <v>0</v>
      </c>
      <c r="I464" s="10"/>
      <c r="J464" s="45">
        <f>H464+I464</f>
        <v>0</v>
      </c>
      <c r="K464" s="64">
        <v>30000</v>
      </c>
      <c r="L464" s="45">
        <f>J464+K464</f>
        <v>30000</v>
      </c>
      <c r="M464" s="64">
        <v>-12900</v>
      </c>
      <c r="N464" s="45">
        <f>L464+M464</f>
        <v>17100</v>
      </c>
      <c r="O464" s="64"/>
      <c r="P464" s="45">
        <f>N464+O464</f>
        <v>17100</v>
      </c>
      <c r="R464" s="45">
        <v>14400</v>
      </c>
      <c r="S464" s="117">
        <f t="shared" si="21"/>
        <v>84.21052631578947</v>
      </c>
    </row>
    <row r="465" spans="1:19" ht="31.5">
      <c r="A465" s="1" t="s">
        <v>706</v>
      </c>
      <c r="B465" s="10" t="s">
        <v>114</v>
      </c>
      <c r="C465" s="10" t="s">
        <v>28</v>
      </c>
      <c r="D465" s="10" t="s">
        <v>335</v>
      </c>
      <c r="E465" s="10" t="s">
        <v>705</v>
      </c>
      <c r="F465" s="45"/>
      <c r="G465" s="10"/>
      <c r="H465" s="45"/>
      <c r="I465" s="10"/>
      <c r="J465" s="45"/>
      <c r="K465" s="64"/>
      <c r="L465" s="45"/>
      <c r="M465" s="64">
        <v>12900</v>
      </c>
      <c r="N465" s="45">
        <f>L465+M465</f>
        <v>12900</v>
      </c>
      <c r="O465" s="64"/>
      <c r="P465" s="45">
        <f>N465+O465</f>
        <v>12900</v>
      </c>
      <c r="R465" s="45">
        <v>0</v>
      </c>
      <c r="S465" s="117">
        <f t="shared" si="21"/>
        <v>0</v>
      </c>
    </row>
    <row r="466" spans="1:19" ht="94.5">
      <c r="A466" s="1" t="s">
        <v>745</v>
      </c>
      <c r="B466" s="10" t="s">
        <v>114</v>
      </c>
      <c r="C466" s="10" t="s">
        <v>28</v>
      </c>
      <c r="D466" s="10" t="s">
        <v>642</v>
      </c>
      <c r="E466" s="10"/>
      <c r="F466" s="45"/>
      <c r="G466" s="10"/>
      <c r="H466" s="45"/>
      <c r="I466" s="10"/>
      <c r="J466" s="45"/>
      <c r="K466" s="64"/>
      <c r="L466" s="45">
        <f>L467</f>
        <v>98000</v>
      </c>
      <c r="M466" s="64"/>
      <c r="N466" s="45">
        <f>N467</f>
        <v>98000</v>
      </c>
      <c r="O466" s="64"/>
      <c r="P466" s="45">
        <f>P467</f>
        <v>98000</v>
      </c>
      <c r="R466" s="45">
        <f>R467</f>
        <v>0</v>
      </c>
      <c r="S466" s="117">
        <f t="shared" si="21"/>
        <v>0</v>
      </c>
    </row>
    <row r="467" spans="1:19" ht="94.5">
      <c r="A467" s="1" t="s">
        <v>641</v>
      </c>
      <c r="B467" s="10" t="s">
        <v>114</v>
      </c>
      <c r="C467" s="10" t="s">
        <v>28</v>
      </c>
      <c r="D467" s="10" t="s">
        <v>643</v>
      </c>
      <c r="E467" s="10"/>
      <c r="F467" s="45"/>
      <c r="G467" s="10"/>
      <c r="H467" s="45"/>
      <c r="I467" s="10"/>
      <c r="J467" s="45"/>
      <c r="K467" s="64"/>
      <c r="L467" s="45">
        <f>L468</f>
        <v>98000</v>
      </c>
      <c r="M467" s="64"/>
      <c r="N467" s="45">
        <f>N468</f>
        <v>98000</v>
      </c>
      <c r="O467" s="64"/>
      <c r="P467" s="45">
        <f>P468</f>
        <v>98000</v>
      </c>
      <c r="R467" s="45">
        <f>R468</f>
        <v>0</v>
      </c>
      <c r="S467" s="117">
        <f t="shared" si="21"/>
        <v>0</v>
      </c>
    </row>
    <row r="468" spans="1:19" ht="31.5">
      <c r="A468" s="1" t="s">
        <v>365</v>
      </c>
      <c r="B468" s="10" t="s">
        <v>114</v>
      </c>
      <c r="C468" s="10" t="s">
        <v>28</v>
      </c>
      <c r="D468" s="10" t="s">
        <v>643</v>
      </c>
      <c r="E468" s="10" t="s">
        <v>316</v>
      </c>
      <c r="F468" s="45"/>
      <c r="G468" s="10"/>
      <c r="H468" s="45"/>
      <c r="I468" s="10"/>
      <c r="J468" s="45"/>
      <c r="K468" s="64">
        <v>98000</v>
      </c>
      <c r="L468" s="45">
        <f>J468+K468</f>
        <v>98000</v>
      </c>
      <c r="M468" s="64">
        <v>0</v>
      </c>
      <c r="N468" s="45">
        <f>L468+M468</f>
        <v>98000</v>
      </c>
      <c r="O468" s="64"/>
      <c r="P468" s="45">
        <f>N468+O468</f>
        <v>98000</v>
      </c>
      <c r="R468" s="45">
        <v>0</v>
      </c>
      <c r="S468" s="117">
        <f t="shared" si="21"/>
        <v>0</v>
      </c>
    </row>
    <row r="469" spans="1:19" ht="48.75" customHeight="1">
      <c r="A469" s="1" t="s">
        <v>746</v>
      </c>
      <c r="B469" s="10" t="s">
        <v>114</v>
      </c>
      <c r="C469" s="10" t="s">
        <v>28</v>
      </c>
      <c r="D469" s="10" t="s">
        <v>639</v>
      </c>
      <c r="E469" s="10"/>
      <c r="F469" s="45"/>
      <c r="G469" s="10"/>
      <c r="H469" s="45"/>
      <c r="I469" s="10"/>
      <c r="J469" s="45"/>
      <c r="K469" s="64"/>
      <c r="L469" s="45">
        <f>L471+L470</f>
        <v>5235000</v>
      </c>
      <c r="M469" s="64"/>
      <c r="N469" s="45">
        <f>N471+N470</f>
        <v>5235000</v>
      </c>
      <c r="O469" s="64"/>
      <c r="P469" s="45">
        <f>P471+P470</f>
        <v>5235000</v>
      </c>
      <c r="R469" s="45">
        <f>R471+R470</f>
        <v>0</v>
      </c>
      <c r="S469" s="117">
        <f t="shared" si="21"/>
        <v>0</v>
      </c>
    </row>
    <row r="470" spans="1:19" ht="48.75" customHeight="1">
      <c r="A470" s="1" t="s">
        <v>366</v>
      </c>
      <c r="B470" s="10" t="s">
        <v>114</v>
      </c>
      <c r="C470" s="10" t="s">
        <v>28</v>
      </c>
      <c r="D470" s="39" t="s">
        <v>644</v>
      </c>
      <c r="E470" s="10" t="s">
        <v>325</v>
      </c>
      <c r="F470" s="45"/>
      <c r="G470" s="10"/>
      <c r="H470" s="45"/>
      <c r="I470" s="10"/>
      <c r="J470" s="45"/>
      <c r="K470" s="64">
        <v>3485000</v>
      </c>
      <c r="L470" s="45">
        <f>J470+K470</f>
        <v>3485000</v>
      </c>
      <c r="M470" s="64">
        <v>0</v>
      </c>
      <c r="N470" s="45">
        <f>L470+M470</f>
        <v>3485000</v>
      </c>
      <c r="O470" s="64"/>
      <c r="P470" s="45">
        <f>N470+O470</f>
        <v>3485000</v>
      </c>
      <c r="R470" s="45">
        <v>0</v>
      </c>
      <c r="S470" s="117">
        <f t="shared" si="21"/>
        <v>0</v>
      </c>
    </row>
    <row r="471" spans="1:19" ht="31.5">
      <c r="A471" s="1" t="s">
        <v>365</v>
      </c>
      <c r="B471" s="10" t="s">
        <v>114</v>
      </c>
      <c r="C471" s="10" t="s">
        <v>28</v>
      </c>
      <c r="D471" s="39" t="s">
        <v>640</v>
      </c>
      <c r="E471" s="10" t="s">
        <v>316</v>
      </c>
      <c r="F471" s="45"/>
      <c r="G471" s="10"/>
      <c r="H471" s="45"/>
      <c r="I471" s="10"/>
      <c r="J471" s="45"/>
      <c r="K471" s="64">
        <v>1750000</v>
      </c>
      <c r="L471" s="45">
        <f>J471+K471</f>
        <v>1750000</v>
      </c>
      <c r="M471" s="64">
        <v>0</v>
      </c>
      <c r="N471" s="45">
        <f>L471+M471</f>
        <v>1750000</v>
      </c>
      <c r="O471" s="64"/>
      <c r="P471" s="45">
        <f>N471+O471</f>
        <v>1750000</v>
      </c>
      <c r="R471" s="45">
        <v>0</v>
      </c>
      <c r="S471" s="117">
        <f t="shared" si="21"/>
        <v>0</v>
      </c>
    </row>
    <row r="472" spans="1:19" ht="31.5">
      <c r="A472" s="1" t="s">
        <v>156</v>
      </c>
      <c r="B472" s="10" t="s">
        <v>114</v>
      </c>
      <c r="C472" s="10" t="s">
        <v>29</v>
      </c>
      <c r="D472" s="10"/>
      <c r="E472" s="10"/>
      <c r="F472" s="45" t="e">
        <f>F473+F485</f>
        <v>#REF!</v>
      </c>
      <c r="G472" s="10"/>
      <c r="H472" s="45">
        <f>H473+H485</f>
        <v>12509287</v>
      </c>
      <c r="I472" s="10"/>
      <c r="J472" s="45">
        <f>J473+J485</f>
        <v>12774287</v>
      </c>
      <c r="K472" s="10"/>
      <c r="L472" s="45">
        <f>L473+L485</f>
        <v>12800687</v>
      </c>
      <c r="M472" s="10"/>
      <c r="N472" s="45">
        <f>N473+N485+N491</f>
        <v>12899887</v>
      </c>
      <c r="O472" s="10"/>
      <c r="P472" s="45">
        <f>P473+P485+P491</f>
        <v>12899887</v>
      </c>
      <c r="R472" s="45">
        <f>R473+R485+R491</f>
        <v>5208146.74</v>
      </c>
      <c r="S472" s="117">
        <f t="shared" si="21"/>
        <v>40.37358420271433</v>
      </c>
    </row>
    <row r="473" spans="1:19" ht="47.25">
      <c r="A473" s="1" t="s">
        <v>130</v>
      </c>
      <c r="B473" s="10" t="s">
        <v>114</v>
      </c>
      <c r="C473" s="10" t="s">
        <v>29</v>
      </c>
      <c r="D473" s="10" t="s">
        <v>131</v>
      </c>
      <c r="E473" s="10"/>
      <c r="F473" s="45" t="e">
        <f>F474+F482</f>
        <v>#REF!</v>
      </c>
      <c r="G473" s="10"/>
      <c r="H473" s="45">
        <f>H474+H482</f>
        <v>11167287</v>
      </c>
      <c r="I473" s="10"/>
      <c r="J473" s="45">
        <f>J474+J482</f>
        <v>11432287</v>
      </c>
      <c r="K473" s="10"/>
      <c r="L473" s="45">
        <f>L474+L482</f>
        <v>11432287</v>
      </c>
      <c r="M473" s="10"/>
      <c r="N473" s="45">
        <f>N474+N482</f>
        <v>11099287</v>
      </c>
      <c r="O473" s="10"/>
      <c r="P473" s="45">
        <f>P474+P482</f>
        <v>11099287</v>
      </c>
      <c r="R473" s="45">
        <f>R474+R482</f>
        <v>3982346.74</v>
      </c>
      <c r="S473" s="117">
        <f t="shared" si="21"/>
        <v>35.87930233716815</v>
      </c>
    </row>
    <row r="474" spans="1:19" ht="15.75">
      <c r="A474" s="1" t="s">
        <v>158</v>
      </c>
      <c r="B474" s="10" t="s">
        <v>114</v>
      </c>
      <c r="C474" s="10" t="s">
        <v>29</v>
      </c>
      <c r="D474" s="10" t="s">
        <v>132</v>
      </c>
      <c r="E474" s="10"/>
      <c r="F474" s="45" t="e">
        <f>F475+F479+F476</f>
        <v>#REF!</v>
      </c>
      <c r="G474" s="10"/>
      <c r="H474" s="45">
        <f>H475+H479+H476</f>
        <v>9274000</v>
      </c>
      <c r="I474" s="10"/>
      <c r="J474" s="45">
        <f>J475+J479+J476</f>
        <v>9784000</v>
      </c>
      <c r="K474" s="10"/>
      <c r="L474" s="45">
        <f>L475+L479+L476</f>
        <v>9784000</v>
      </c>
      <c r="M474" s="10"/>
      <c r="N474" s="45">
        <f>N475+N479+N476+N478+N477</f>
        <v>9784000</v>
      </c>
      <c r="O474" s="10"/>
      <c r="P474" s="45">
        <f>P475+P479+P476+P478+P477</f>
        <v>9784000</v>
      </c>
      <c r="R474" s="45">
        <f>R475+R479+R476+R478+R477</f>
        <v>3176593.74</v>
      </c>
      <c r="S474" s="117">
        <f t="shared" si="21"/>
        <v>32.467229558462805</v>
      </c>
    </row>
    <row r="475" spans="1:19" ht="31.5">
      <c r="A475" s="1" t="s">
        <v>365</v>
      </c>
      <c r="B475" s="39" t="s">
        <v>114</v>
      </c>
      <c r="C475" s="39" t="s">
        <v>29</v>
      </c>
      <c r="D475" s="39" t="s">
        <v>132</v>
      </c>
      <c r="E475" s="39" t="s">
        <v>316</v>
      </c>
      <c r="F475" s="45">
        <v>0</v>
      </c>
      <c r="G475" s="63">
        <v>1701600</v>
      </c>
      <c r="H475" s="45">
        <f>F475+G475</f>
        <v>1701600</v>
      </c>
      <c r="I475" s="63">
        <v>392000</v>
      </c>
      <c r="J475" s="45">
        <f>H475+I475</f>
        <v>2093600</v>
      </c>
      <c r="K475" s="63">
        <v>222993</v>
      </c>
      <c r="L475" s="45">
        <f>J475+K475</f>
        <v>2316593</v>
      </c>
      <c r="M475" s="63">
        <f>-310-66077</f>
        <v>-66387</v>
      </c>
      <c r="N475" s="45">
        <f>L475+M475</f>
        <v>2250206</v>
      </c>
      <c r="O475" s="63"/>
      <c r="P475" s="45">
        <f>N475+O475</f>
        <v>2250206</v>
      </c>
      <c r="R475" s="45">
        <v>740034.55</v>
      </c>
      <c r="S475" s="117">
        <f t="shared" si="21"/>
        <v>32.88741341903808</v>
      </c>
    </row>
    <row r="476" spans="1:19" ht="78.75" hidden="1">
      <c r="A476" s="1" t="s">
        <v>339</v>
      </c>
      <c r="B476" s="39" t="s">
        <v>114</v>
      </c>
      <c r="C476" s="39" t="s">
        <v>29</v>
      </c>
      <c r="D476" s="39" t="s">
        <v>132</v>
      </c>
      <c r="E476" s="39" t="s">
        <v>338</v>
      </c>
      <c r="F476" s="45">
        <v>0</v>
      </c>
      <c r="G476" s="63">
        <v>5432400</v>
      </c>
      <c r="H476" s="45">
        <f>F476+G476</f>
        <v>5432400</v>
      </c>
      <c r="I476" s="63">
        <v>0</v>
      </c>
      <c r="J476" s="45">
        <f>H476+I476</f>
        <v>5432400</v>
      </c>
      <c r="K476" s="63">
        <v>-222993</v>
      </c>
      <c r="L476" s="45">
        <f>J476+K476</f>
        <v>5209407</v>
      </c>
      <c r="M476" s="63">
        <f>310-5209717</f>
        <v>-5209407</v>
      </c>
      <c r="N476" s="45">
        <f>L476+M476</f>
        <v>0</v>
      </c>
      <c r="O476" s="63"/>
      <c r="P476" s="45">
        <f>N476+O476</f>
        <v>0</v>
      </c>
      <c r="R476" s="45">
        <v>0</v>
      </c>
      <c r="S476" s="117">
        <v>0</v>
      </c>
    </row>
    <row r="477" spans="1:19" ht="78.75">
      <c r="A477" s="1" t="s">
        <v>707</v>
      </c>
      <c r="B477" s="39" t="s">
        <v>114</v>
      </c>
      <c r="C477" s="39" t="s">
        <v>29</v>
      </c>
      <c r="D477" s="39" t="s">
        <v>132</v>
      </c>
      <c r="E477" s="39" t="s">
        <v>703</v>
      </c>
      <c r="F477" s="45"/>
      <c r="G477" s="63"/>
      <c r="H477" s="45"/>
      <c r="I477" s="63"/>
      <c r="J477" s="45"/>
      <c r="K477" s="63"/>
      <c r="L477" s="45"/>
      <c r="M477" s="63">
        <v>5209717</v>
      </c>
      <c r="N477" s="45">
        <f>L477+M477</f>
        <v>5209717</v>
      </c>
      <c r="O477" s="63"/>
      <c r="P477" s="45">
        <f>N477+O477</f>
        <v>5209717</v>
      </c>
      <c r="R477" s="45">
        <v>1736572</v>
      </c>
      <c r="S477" s="117">
        <f t="shared" si="21"/>
        <v>33.33332693503313</v>
      </c>
    </row>
    <row r="478" spans="1:19" ht="31.5">
      <c r="A478" s="1" t="s">
        <v>706</v>
      </c>
      <c r="B478" s="39" t="s">
        <v>114</v>
      </c>
      <c r="C478" s="39" t="s">
        <v>29</v>
      </c>
      <c r="D478" s="39" t="s">
        <v>132</v>
      </c>
      <c r="E478" s="39" t="s">
        <v>705</v>
      </c>
      <c r="F478" s="45"/>
      <c r="G478" s="63"/>
      <c r="H478" s="45"/>
      <c r="I478" s="63"/>
      <c r="J478" s="45"/>
      <c r="K478" s="63"/>
      <c r="L478" s="45"/>
      <c r="M478" s="63">
        <v>66077</v>
      </c>
      <c r="N478" s="45">
        <f>L478+M478</f>
        <v>66077</v>
      </c>
      <c r="O478" s="63"/>
      <c r="P478" s="45">
        <f>N478+O478</f>
        <v>66077</v>
      </c>
      <c r="R478" s="45">
        <f>P478+Q478</f>
        <v>66077</v>
      </c>
      <c r="S478" s="117">
        <f t="shared" si="21"/>
        <v>100</v>
      </c>
    </row>
    <row r="479" spans="1:19" ht="15.75">
      <c r="A479" s="1" t="s">
        <v>158</v>
      </c>
      <c r="B479" s="10" t="s">
        <v>114</v>
      </c>
      <c r="C479" s="10" t="s">
        <v>29</v>
      </c>
      <c r="D479" s="39" t="s">
        <v>266</v>
      </c>
      <c r="E479" s="39"/>
      <c r="F479" s="45" t="e">
        <f>F480+#REF!</f>
        <v>#REF!</v>
      </c>
      <c r="G479" s="39"/>
      <c r="H479" s="45">
        <f>H480</f>
        <v>2140000</v>
      </c>
      <c r="I479" s="39" t="s">
        <v>376</v>
      </c>
      <c r="J479" s="45">
        <f>J480</f>
        <v>2258000</v>
      </c>
      <c r="K479" s="39"/>
      <c r="L479" s="45">
        <f>L480</f>
        <v>2258000</v>
      </c>
      <c r="M479" s="39"/>
      <c r="N479" s="45">
        <f>N480+N481</f>
        <v>2258000</v>
      </c>
      <c r="O479" s="39"/>
      <c r="P479" s="45">
        <f>P480+P481</f>
        <v>2258000</v>
      </c>
      <c r="R479" s="45">
        <f>R480+R481</f>
        <v>633910.19</v>
      </c>
      <c r="S479" s="117">
        <f t="shared" si="21"/>
        <v>28.073967670504867</v>
      </c>
    </row>
    <row r="480" spans="1:19" ht="31.5">
      <c r="A480" s="1" t="s">
        <v>321</v>
      </c>
      <c r="B480" s="10" t="s">
        <v>114</v>
      </c>
      <c r="C480" s="10" t="s">
        <v>29</v>
      </c>
      <c r="D480" s="39" t="s">
        <v>266</v>
      </c>
      <c r="E480" s="39" t="s">
        <v>316</v>
      </c>
      <c r="F480" s="45">
        <v>0</v>
      </c>
      <c r="G480" s="63">
        <v>2140000</v>
      </c>
      <c r="H480" s="45">
        <f>F480+G480</f>
        <v>2140000</v>
      </c>
      <c r="I480" s="63">
        <v>118000</v>
      </c>
      <c r="J480" s="45">
        <f>H480+I480</f>
        <v>2258000</v>
      </c>
      <c r="K480" s="63"/>
      <c r="L480" s="45">
        <f>J480+K480</f>
        <v>2258000</v>
      </c>
      <c r="M480" s="63">
        <f>-92603-13020.9</f>
        <v>-105623.9</v>
      </c>
      <c r="N480" s="45">
        <f>L480+M480</f>
        <v>2152376.1</v>
      </c>
      <c r="O480" s="63">
        <v>-9000</v>
      </c>
      <c r="P480" s="45">
        <f>N480+O480</f>
        <v>2143376.1</v>
      </c>
      <c r="R480" s="45">
        <v>633910.19</v>
      </c>
      <c r="S480" s="117">
        <f t="shared" si="21"/>
        <v>29.575312984034856</v>
      </c>
    </row>
    <row r="481" spans="1:19" ht="31.5">
      <c r="A481" s="1" t="s">
        <v>706</v>
      </c>
      <c r="B481" s="10" t="s">
        <v>114</v>
      </c>
      <c r="C481" s="10" t="s">
        <v>29</v>
      </c>
      <c r="D481" s="39" t="s">
        <v>266</v>
      </c>
      <c r="E481" s="39" t="s">
        <v>705</v>
      </c>
      <c r="F481" s="45"/>
      <c r="G481" s="63"/>
      <c r="H481" s="45"/>
      <c r="I481" s="63"/>
      <c r="J481" s="45"/>
      <c r="K481" s="63"/>
      <c r="L481" s="45"/>
      <c r="M481" s="63">
        <v>105623.9</v>
      </c>
      <c r="N481" s="45">
        <f>L481+M481</f>
        <v>105623.9</v>
      </c>
      <c r="O481" s="63">
        <v>9000</v>
      </c>
      <c r="P481" s="45">
        <f>N481+O481</f>
        <v>114623.9</v>
      </c>
      <c r="R481" s="45">
        <v>0</v>
      </c>
      <c r="S481" s="117">
        <f t="shared" si="21"/>
        <v>0</v>
      </c>
    </row>
    <row r="482" spans="1:19" ht="31.5">
      <c r="A482" s="1" t="s">
        <v>153</v>
      </c>
      <c r="B482" s="10" t="s">
        <v>114</v>
      </c>
      <c r="C482" s="10" t="s">
        <v>29</v>
      </c>
      <c r="D482" s="39" t="s">
        <v>337</v>
      </c>
      <c r="E482" s="39"/>
      <c r="F482" s="45">
        <f>F483</f>
        <v>0</v>
      </c>
      <c r="G482" s="39"/>
      <c r="H482" s="45">
        <f>H483</f>
        <v>1893287</v>
      </c>
      <c r="I482" s="39" t="s">
        <v>376</v>
      </c>
      <c r="J482" s="45">
        <f>J483</f>
        <v>1648287</v>
      </c>
      <c r="K482" s="39"/>
      <c r="L482" s="45">
        <f>L483</f>
        <v>1648287</v>
      </c>
      <c r="M482" s="39"/>
      <c r="N482" s="45">
        <f>N483+N484</f>
        <v>1315287</v>
      </c>
      <c r="O482" s="39"/>
      <c r="P482" s="45">
        <f>P483+P484</f>
        <v>1315287</v>
      </c>
      <c r="R482" s="45">
        <f>R483+R484</f>
        <v>805753</v>
      </c>
      <c r="S482" s="117">
        <f t="shared" si="21"/>
        <v>61.260622206408186</v>
      </c>
    </row>
    <row r="483" spans="1:19" ht="78.75">
      <c r="A483" s="1" t="s">
        <v>339</v>
      </c>
      <c r="B483" s="10" t="s">
        <v>114</v>
      </c>
      <c r="C483" s="10" t="s">
        <v>29</v>
      </c>
      <c r="D483" s="39" t="s">
        <v>337</v>
      </c>
      <c r="E483" s="39" t="s">
        <v>338</v>
      </c>
      <c r="F483" s="45">
        <v>0</v>
      </c>
      <c r="G483" s="63">
        <v>1893287</v>
      </c>
      <c r="H483" s="45">
        <f>F483+G483</f>
        <v>1893287</v>
      </c>
      <c r="I483" s="63">
        <v>-245000</v>
      </c>
      <c r="J483" s="45">
        <f>H483+I483</f>
        <v>1648287</v>
      </c>
      <c r="K483" s="63"/>
      <c r="L483" s="45">
        <f>J483+K483</f>
        <v>1648287</v>
      </c>
      <c r="M483" s="63">
        <f>-333000-440000</f>
        <v>-773000</v>
      </c>
      <c r="N483" s="45">
        <f>L483+M483</f>
        <v>875287</v>
      </c>
      <c r="O483" s="63">
        <v>-69534</v>
      </c>
      <c r="P483" s="45">
        <f>N483+O483</f>
        <v>805753</v>
      </c>
      <c r="R483" s="45">
        <f>P483+Q483</f>
        <v>805753</v>
      </c>
      <c r="S483" s="117">
        <f t="shared" si="21"/>
        <v>100</v>
      </c>
    </row>
    <row r="484" spans="1:19" ht="78.75">
      <c r="A484" s="1" t="s">
        <v>707</v>
      </c>
      <c r="B484" s="10" t="s">
        <v>114</v>
      </c>
      <c r="C484" s="10" t="s">
        <v>29</v>
      </c>
      <c r="D484" s="39" t="s">
        <v>337</v>
      </c>
      <c r="E484" s="39" t="s">
        <v>703</v>
      </c>
      <c r="F484" s="45"/>
      <c r="G484" s="63"/>
      <c r="H484" s="45"/>
      <c r="I484" s="63"/>
      <c r="J484" s="45"/>
      <c r="K484" s="63"/>
      <c r="L484" s="45"/>
      <c r="M484" s="63">
        <v>440000</v>
      </c>
      <c r="N484" s="45">
        <f>L484+M484</f>
        <v>440000</v>
      </c>
      <c r="O484" s="63">
        <v>69534</v>
      </c>
      <c r="P484" s="45">
        <f>N484+O484</f>
        <v>509534</v>
      </c>
      <c r="R484" s="45">
        <v>0</v>
      </c>
      <c r="S484" s="117">
        <f t="shared" si="21"/>
        <v>0</v>
      </c>
    </row>
    <row r="485" spans="1:19" ht="17.25" customHeight="1">
      <c r="A485" s="25" t="s">
        <v>307</v>
      </c>
      <c r="B485" s="39" t="s">
        <v>114</v>
      </c>
      <c r="C485" s="39" t="s">
        <v>29</v>
      </c>
      <c r="D485" s="39" t="s">
        <v>78</v>
      </c>
      <c r="E485" s="39"/>
      <c r="F485" s="45" t="e">
        <f>F486+#REF!+F488</f>
        <v>#REF!</v>
      </c>
      <c r="G485" s="39"/>
      <c r="H485" s="45">
        <f>H486+H488</f>
        <v>1342000</v>
      </c>
      <c r="I485" s="39" t="s">
        <v>376</v>
      </c>
      <c r="J485" s="45">
        <f>J486+J488</f>
        <v>1342000</v>
      </c>
      <c r="K485" s="39"/>
      <c r="L485" s="45">
        <f>L486+L488</f>
        <v>1368400</v>
      </c>
      <c r="M485" s="39"/>
      <c r="N485" s="45">
        <f>N486+N488</f>
        <v>1701400</v>
      </c>
      <c r="O485" s="39"/>
      <c r="P485" s="45">
        <f>P486+P488</f>
        <v>1701400</v>
      </c>
      <c r="R485" s="45">
        <f>R486+R488</f>
        <v>1169700</v>
      </c>
      <c r="S485" s="117">
        <f t="shared" si="21"/>
        <v>68.74926531092042</v>
      </c>
    </row>
    <row r="486" spans="1:19" ht="63">
      <c r="A486" s="7" t="s">
        <v>297</v>
      </c>
      <c r="B486" s="8" t="s">
        <v>114</v>
      </c>
      <c r="C486" s="8" t="s">
        <v>29</v>
      </c>
      <c r="D486" s="8" t="s">
        <v>262</v>
      </c>
      <c r="E486" s="8"/>
      <c r="F486" s="49">
        <f>F487</f>
        <v>0</v>
      </c>
      <c r="G486" s="8"/>
      <c r="H486" s="49">
        <f>H487</f>
        <v>75000</v>
      </c>
      <c r="I486" s="8"/>
      <c r="J486" s="49">
        <f>J487</f>
        <v>75000</v>
      </c>
      <c r="K486" s="8"/>
      <c r="L486" s="49">
        <f>L487</f>
        <v>101400</v>
      </c>
      <c r="M486" s="8"/>
      <c r="N486" s="49">
        <f>N487</f>
        <v>101400</v>
      </c>
      <c r="O486" s="8"/>
      <c r="P486" s="49">
        <f>P487</f>
        <v>101400</v>
      </c>
      <c r="R486" s="49">
        <v>24700</v>
      </c>
      <c r="S486" s="117">
        <f t="shared" si="21"/>
        <v>24.358974358974358</v>
      </c>
    </row>
    <row r="487" spans="1:19" ht="31.5">
      <c r="A487" s="1" t="s">
        <v>365</v>
      </c>
      <c r="B487" s="8" t="s">
        <v>114</v>
      </c>
      <c r="C487" s="8" t="s">
        <v>29</v>
      </c>
      <c r="D487" s="8" t="s">
        <v>262</v>
      </c>
      <c r="E487" s="8" t="s">
        <v>316</v>
      </c>
      <c r="F487" s="49">
        <v>0</v>
      </c>
      <c r="G487" s="73">
        <v>75000</v>
      </c>
      <c r="H487" s="49">
        <f>F487+G487</f>
        <v>75000</v>
      </c>
      <c r="I487" s="73">
        <v>0</v>
      </c>
      <c r="J487" s="49">
        <f>H487+I487</f>
        <v>75000</v>
      </c>
      <c r="K487" s="73">
        <v>26400</v>
      </c>
      <c r="L487" s="49">
        <f>J487+K487</f>
        <v>101400</v>
      </c>
      <c r="M487" s="73">
        <v>0</v>
      </c>
      <c r="N487" s="49">
        <f>L487+M487</f>
        <v>101400</v>
      </c>
      <c r="O487" s="73"/>
      <c r="P487" s="49">
        <f>N487+O487</f>
        <v>101400</v>
      </c>
      <c r="R487" s="49">
        <f>P487+Q487</f>
        <v>101400</v>
      </c>
      <c r="S487" s="117">
        <f t="shared" si="21"/>
        <v>100</v>
      </c>
    </row>
    <row r="488" spans="1:19" ht="110.25">
      <c r="A488" s="7" t="s">
        <v>392</v>
      </c>
      <c r="B488" s="8" t="s">
        <v>114</v>
      </c>
      <c r="C488" s="8" t="s">
        <v>29</v>
      </c>
      <c r="D488" s="29" t="s">
        <v>295</v>
      </c>
      <c r="E488" s="29"/>
      <c r="F488" s="49">
        <f>F489</f>
        <v>0</v>
      </c>
      <c r="G488" s="29"/>
      <c r="H488" s="49">
        <f>H489</f>
        <v>1267000</v>
      </c>
      <c r="I488" s="29"/>
      <c r="J488" s="49">
        <f>J489</f>
        <v>1267000</v>
      </c>
      <c r="K488" s="29"/>
      <c r="L488" s="49">
        <f>L489</f>
        <v>1267000</v>
      </c>
      <c r="M488" s="29"/>
      <c r="N488" s="49">
        <f>N489+N490</f>
        <v>1600000</v>
      </c>
      <c r="O488" s="29"/>
      <c r="P488" s="49">
        <f>P489+P490</f>
        <v>1600000</v>
      </c>
      <c r="R488" s="49">
        <f>R489+R490</f>
        <v>1145000</v>
      </c>
      <c r="S488" s="117">
        <f t="shared" si="21"/>
        <v>71.5625</v>
      </c>
    </row>
    <row r="489" spans="1:19" ht="31.5">
      <c r="A489" s="1" t="s">
        <v>341</v>
      </c>
      <c r="B489" s="8" t="s">
        <v>114</v>
      </c>
      <c r="C489" s="8" t="s">
        <v>29</v>
      </c>
      <c r="D489" s="29" t="s">
        <v>295</v>
      </c>
      <c r="E489" s="29" t="s">
        <v>340</v>
      </c>
      <c r="F489" s="49">
        <v>0</v>
      </c>
      <c r="G489" s="29" t="s">
        <v>480</v>
      </c>
      <c r="H489" s="49">
        <f>F489+G489</f>
        <v>1267000</v>
      </c>
      <c r="I489" s="29" t="s">
        <v>376</v>
      </c>
      <c r="J489" s="49">
        <f>H489+I489</f>
        <v>1267000</v>
      </c>
      <c r="K489" s="29"/>
      <c r="L489" s="49">
        <f>J489+K489</f>
        <v>1267000</v>
      </c>
      <c r="M489" s="95">
        <f>333000-855000</f>
        <v>-522000</v>
      </c>
      <c r="N489" s="49">
        <f>L489+M489</f>
        <v>745000</v>
      </c>
      <c r="O489" s="95"/>
      <c r="P489" s="49">
        <f>N489+O489</f>
        <v>745000</v>
      </c>
      <c r="R489" s="49">
        <v>745000</v>
      </c>
      <c r="S489" s="117">
        <f t="shared" si="21"/>
        <v>100</v>
      </c>
    </row>
    <row r="490" spans="1:19" ht="31.5">
      <c r="A490" s="1" t="s">
        <v>706</v>
      </c>
      <c r="B490" s="8" t="s">
        <v>114</v>
      </c>
      <c r="C490" s="8" t="s">
        <v>29</v>
      </c>
      <c r="D490" s="29" t="s">
        <v>295</v>
      </c>
      <c r="E490" s="29" t="s">
        <v>705</v>
      </c>
      <c r="F490" s="49"/>
      <c r="G490" s="29"/>
      <c r="H490" s="49"/>
      <c r="I490" s="29"/>
      <c r="J490" s="49"/>
      <c r="K490" s="29"/>
      <c r="L490" s="49"/>
      <c r="M490" s="29" t="s">
        <v>710</v>
      </c>
      <c r="N490" s="49">
        <f>L490+M490</f>
        <v>855000</v>
      </c>
      <c r="O490" s="29"/>
      <c r="P490" s="49">
        <f>N490+O490</f>
        <v>855000</v>
      </c>
      <c r="R490" s="49">
        <v>400000</v>
      </c>
      <c r="S490" s="117">
        <f t="shared" si="21"/>
        <v>46.783625730994146</v>
      </c>
    </row>
    <row r="491" spans="1:19" ht="47.25">
      <c r="A491" s="1" t="s">
        <v>684</v>
      </c>
      <c r="B491" s="29" t="s">
        <v>114</v>
      </c>
      <c r="C491" s="29" t="s">
        <v>29</v>
      </c>
      <c r="D491" s="29" t="s">
        <v>685</v>
      </c>
      <c r="E491" s="29"/>
      <c r="F491" s="77"/>
      <c r="G491" s="77"/>
      <c r="H491" s="77"/>
      <c r="I491" s="77"/>
      <c r="J491" s="77"/>
      <c r="K491" s="100"/>
      <c r="L491" s="77"/>
      <c r="M491" s="100"/>
      <c r="N491" s="77">
        <f>N492</f>
        <v>99200</v>
      </c>
      <c r="O491" s="100"/>
      <c r="P491" s="77">
        <f>P492</f>
        <v>99200</v>
      </c>
      <c r="R491" s="77">
        <f>R492</f>
        <v>56100</v>
      </c>
      <c r="S491" s="117">
        <f t="shared" si="21"/>
        <v>56.55241935483871</v>
      </c>
    </row>
    <row r="492" spans="1:19" ht="31.5">
      <c r="A492" s="1" t="s">
        <v>365</v>
      </c>
      <c r="B492" s="29" t="s">
        <v>114</v>
      </c>
      <c r="C492" s="29" t="s">
        <v>29</v>
      </c>
      <c r="D492" s="29" t="s">
        <v>687</v>
      </c>
      <c r="E492" s="29" t="s">
        <v>316</v>
      </c>
      <c r="F492" s="77"/>
      <c r="G492" s="77"/>
      <c r="H492" s="77"/>
      <c r="I492" s="77"/>
      <c r="J492" s="77"/>
      <c r="K492" s="100"/>
      <c r="L492" s="77"/>
      <c r="M492" s="100">
        <v>99200</v>
      </c>
      <c r="N492" s="77">
        <f>L492+M492</f>
        <v>99200</v>
      </c>
      <c r="O492" s="100"/>
      <c r="P492" s="77">
        <f>N492+O492</f>
        <v>99200</v>
      </c>
      <c r="R492" s="77">
        <v>56100</v>
      </c>
      <c r="S492" s="117">
        <f t="shared" si="21"/>
        <v>56.55241935483871</v>
      </c>
    </row>
    <row r="493" spans="1:19" ht="15.75">
      <c r="A493" s="1" t="s">
        <v>159</v>
      </c>
      <c r="B493" s="10" t="s">
        <v>114</v>
      </c>
      <c r="C493" s="10" t="s">
        <v>30</v>
      </c>
      <c r="D493" s="10"/>
      <c r="E493" s="10"/>
      <c r="F493" s="45" t="e">
        <f>F494+F502+F504+F510+#REF!</f>
        <v>#REF!</v>
      </c>
      <c r="G493" s="10"/>
      <c r="H493" s="45">
        <f>H494+H502+H504+H510</f>
        <v>14015105</v>
      </c>
      <c r="I493" s="10"/>
      <c r="J493" s="45">
        <f>J494+J502+J504+J510</f>
        <v>15215492</v>
      </c>
      <c r="K493" s="10"/>
      <c r="L493" s="45">
        <f>L494+L502+L504+L510+L534</f>
        <v>16080661</v>
      </c>
      <c r="M493" s="10"/>
      <c r="N493" s="45">
        <f>N494+N502+N504+N510+N534</f>
        <v>20866661.130000003</v>
      </c>
      <c r="O493" s="10"/>
      <c r="P493" s="45">
        <f>P494+P502+P504+P510+P534</f>
        <v>21066661.130000003</v>
      </c>
      <c r="R493" s="45">
        <f>R494+R502+R504+R510+R534</f>
        <v>3845847.7199999997</v>
      </c>
      <c r="S493" s="117">
        <f t="shared" si="21"/>
        <v>18.255611063697778</v>
      </c>
    </row>
    <row r="494" spans="1:19" ht="63">
      <c r="A494" s="1" t="s">
        <v>80</v>
      </c>
      <c r="B494" s="10" t="s">
        <v>114</v>
      </c>
      <c r="C494" s="10" t="s">
        <v>30</v>
      </c>
      <c r="D494" s="10" t="s">
        <v>81</v>
      </c>
      <c r="E494" s="10"/>
      <c r="F494" s="45">
        <f>F495</f>
        <v>0</v>
      </c>
      <c r="G494" s="10"/>
      <c r="H494" s="45">
        <f>H495</f>
        <v>2580900</v>
      </c>
      <c r="I494" s="10"/>
      <c r="J494" s="45">
        <f>J495</f>
        <v>2580900</v>
      </c>
      <c r="K494" s="10"/>
      <c r="L494" s="45">
        <f>L495</f>
        <v>2580900</v>
      </c>
      <c r="M494" s="10"/>
      <c r="N494" s="45">
        <f>N495</f>
        <v>2590900</v>
      </c>
      <c r="O494" s="10"/>
      <c r="P494" s="45">
        <f>P495</f>
        <v>2590900</v>
      </c>
      <c r="R494" s="45">
        <f>R495</f>
        <v>1105594.12</v>
      </c>
      <c r="S494" s="117">
        <f t="shared" si="21"/>
        <v>42.67220348141573</v>
      </c>
    </row>
    <row r="495" spans="1:19" ht="15.75">
      <c r="A495" s="1" t="s">
        <v>138</v>
      </c>
      <c r="B495" s="10">
        <v>906</v>
      </c>
      <c r="C495" s="10" t="s">
        <v>30</v>
      </c>
      <c r="D495" s="10" t="s">
        <v>85</v>
      </c>
      <c r="E495" s="10"/>
      <c r="F495" s="46">
        <f>F496+F497+F498+F499+F500+F501</f>
        <v>0</v>
      </c>
      <c r="G495" s="10"/>
      <c r="H495" s="46">
        <f>H496+H497+H498+H499+H500+H501</f>
        <v>2580900</v>
      </c>
      <c r="I495" s="10"/>
      <c r="J495" s="46">
        <f>J496+J497+J498+J499+J500+J501</f>
        <v>2580900</v>
      </c>
      <c r="K495" s="10"/>
      <c r="L495" s="46">
        <f>L496+L497+L498+L499+L500+L501</f>
        <v>2580900</v>
      </c>
      <c r="M495" s="10"/>
      <c r="N495" s="46">
        <f>N496+N497+N498+N499+N500+N501</f>
        <v>2590900</v>
      </c>
      <c r="O495" s="10"/>
      <c r="P495" s="46">
        <f>P496+P497+P498+P499+P500+P501</f>
        <v>2590900</v>
      </c>
      <c r="R495" s="46">
        <f>R496+R497+R498+R499+R500+R501</f>
        <v>1105594.12</v>
      </c>
      <c r="S495" s="117">
        <f t="shared" si="21"/>
        <v>42.67220348141573</v>
      </c>
    </row>
    <row r="496" spans="1:19" ht="15.75">
      <c r="A496" s="1" t="s">
        <v>318</v>
      </c>
      <c r="B496" s="10" t="s">
        <v>114</v>
      </c>
      <c r="C496" s="10" t="s">
        <v>30</v>
      </c>
      <c r="D496" s="10" t="s">
        <v>85</v>
      </c>
      <c r="E496" s="10" t="s">
        <v>313</v>
      </c>
      <c r="F496" s="46">
        <v>0</v>
      </c>
      <c r="G496" s="64">
        <v>487939</v>
      </c>
      <c r="H496" s="46">
        <f aca="true" t="shared" si="22" ref="H496:J501">F496+G496</f>
        <v>487939</v>
      </c>
      <c r="I496" s="64">
        <v>0</v>
      </c>
      <c r="J496" s="46">
        <f t="shared" si="22"/>
        <v>487939</v>
      </c>
      <c r="K496" s="64"/>
      <c r="L496" s="46">
        <f aca="true" t="shared" si="23" ref="L496:N501">J496+K496</f>
        <v>487939</v>
      </c>
      <c r="M496" s="64"/>
      <c r="N496" s="46">
        <f t="shared" si="23"/>
        <v>487939</v>
      </c>
      <c r="O496" s="64"/>
      <c r="P496" s="46">
        <f aca="true" t="shared" si="24" ref="P496:P501">N496+O496</f>
        <v>487939</v>
      </c>
      <c r="R496" s="46">
        <v>133730.7</v>
      </c>
      <c r="S496" s="117">
        <f t="shared" si="21"/>
        <v>27.40725787444742</v>
      </c>
    </row>
    <row r="497" spans="1:19" ht="31.5">
      <c r="A497" s="1" t="s">
        <v>319</v>
      </c>
      <c r="B497" s="10">
        <v>906</v>
      </c>
      <c r="C497" s="10" t="s">
        <v>30</v>
      </c>
      <c r="D497" s="10" t="s">
        <v>85</v>
      </c>
      <c r="E497" s="10" t="s">
        <v>314</v>
      </c>
      <c r="F497" s="46">
        <v>0</v>
      </c>
      <c r="G497" s="64">
        <v>7200</v>
      </c>
      <c r="H497" s="46">
        <f t="shared" si="22"/>
        <v>7200</v>
      </c>
      <c r="I497" s="64">
        <v>0</v>
      </c>
      <c r="J497" s="46">
        <f t="shared" si="22"/>
        <v>7200</v>
      </c>
      <c r="K497" s="64"/>
      <c r="L497" s="46">
        <f t="shared" si="23"/>
        <v>7200</v>
      </c>
      <c r="M497" s="64"/>
      <c r="N497" s="46">
        <f t="shared" si="23"/>
        <v>7200</v>
      </c>
      <c r="O497" s="64"/>
      <c r="P497" s="46">
        <f t="shared" si="24"/>
        <v>7200</v>
      </c>
      <c r="R497" s="46">
        <v>3900</v>
      </c>
      <c r="S497" s="117">
        <f t="shared" si="21"/>
        <v>54.166666666666664</v>
      </c>
    </row>
    <row r="498" spans="1:19" ht="15.75">
      <c r="A498" s="1" t="s">
        <v>318</v>
      </c>
      <c r="B498" s="10" t="s">
        <v>114</v>
      </c>
      <c r="C498" s="10" t="s">
        <v>30</v>
      </c>
      <c r="D498" s="10" t="s">
        <v>85</v>
      </c>
      <c r="E498" s="10" t="s">
        <v>342</v>
      </c>
      <c r="F498" s="46">
        <v>0</v>
      </c>
      <c r="G498" s="64">
        <v>1712519</v>
      </c>
      <c r="H498" s="46">
        <f t="shared" si="22"/>
        <v>1712519</v>
      </c>
      <c r="I498" s="64">
        <v>0</v>
      </c>
      <c r="J498" s="46">
        <f t="shared" si="22"/>
        <v>1712519</v>
      </c>
      <c r="K498" s="64"/>
      <c r="L498" s="46">
        <f t="shared" si="23"/>
        <v>1712519</v>
      </c>
      <c r="M498" s="64"/>
      <c r="N498" s="46">
        <f t="shared" si="23"/>
        <v>1712519</v>
      </c>
      <c r="O498" s="64"/>
      <c r="P498" s="46">
        <f t="shared" si="24"/>
        <v>1712519</v>
      </c>
      <c r="R498" s="46">
        <v>787387.17</v>
      </c>
      <c r="S498" s="117">
        <f t="shared" si="21"/>
        <v>45.97830272248075</v>
      </c>
    </row>
    <row r="499" spans="1:19" ht="31.5">
      <c r="A499" s="1" t="s">
        <v>319</v>
      </c>
      <c r="B499" s="10">
        <v>906</v>
      </c>
      <c r="C499" s="10" t="s">
        <v>30</v>
      </c>
      <c r="D499" s="10" t="s">
        <v>85</v>
      </c>
      <c r="E499" s="10" t="s">
        <v>348</v>
      </c>
      <c r="F499" s="46">
        <v>0</v>
      </c>
      <c r="G499" s="64">
        <v>11000</v>
      </c>
      <c r="H499" s="46">
        <f t="shared" si="22"/>
        <v>11000</v>
      </c>
      <c r="I499" s="64">
        <v>0</v>
      </c>
      <c r="J499" s="46">
        <f t="shared" si="22"/>
        <v>11000</v>
      </c>
      <c r="K499" s="64"/>
      <c r="L499" s="46">
        <f t="shared" si="23"/>
        <v>11000</v>
      </c>
      <c r="M499" s="64"/>
      <c r="N499" s="46">
        <f t="shared" si="23"/>
        <v>11000</v>
      </c>
      <c r="O499" s="64"/>
      <c r="P499" s="46">
        <f t="shared" si="24"/>
        <v>11000</v>
      </c>
      <c r="R499" s="46">
        <v>5200</v>
      </c>
      <c r="S499" s="117">
        <f t="shared" si="21"/>
        <v>47.27272727272727</v>
      </c>
    </row>
    <row r="500" spans="1:19" ht="47.25">
      <c r="A500" s="1" t="s">
        <v>320</v>
      </c>
      <c r="B500" s="10">
        <v>906</v>
      </c>
      <c r="C500" s="10" t="s">
        <v>30</v>
      </c>
      <c r="D500" s="10" t="s">
        <v>85</v>
      </c>
      <c r="E500" s="10" t="s">
        <v>315</v>
      </c>
      <c r="F500" s="46">
        <v>0</v>
      </c>
      <c r="G500" s="64">
        <v>62238</v>
      </c>
      <c r="H500" s="46">
        <f t="shared" si="22"/>
        <v>62238</v>
      </c>
      <c r="I500" s="64">
        <v>0</v>
      </c>
      <c r="J500" s="46">
        <f t="shared" si="22"/>
        <v>62238</v>
      </c>
      <c r="K500" s="64"/>
      <c r="L500" s="46">
        <f t="shared" si="23"/>
        <v>62238</v>
      </c>
      <c r="M500" s="64"/>
      <c r="N500" s="46">
        <f t="shared" si="23"/>
        <v>62238</v>
      </c>
      <c r="O500" s="64"/>
      <c r="P500" s="46">
        <f t="shared" si="24"/>
        <v>62238</v>
      </c>
      <c r="R500" s="46">
        <v>33136</v>
      </c>
      <c r="S500" s="117">
        <f t="shared" si="21"/>
        <v>53.2407853722806</v>
      </c>
    </row>
    <row r="501" spans="1:19" ht="31.5">
      <c r="A501" s="1" t="s">
        <v>365</v>
      </c>
      <c r="B501" s="10" t="s">
        <v>114</v>
      </c>
      <c r="C501" s="10" t="s">
        <v>30</v>
      </c>
      <c r="D501" s="10" t="s">
        <v>85</v>
      </c>
      <c r="E501" s="10" t="s">
        <v>316</v>
      </c>
      <c r="F501" s="46">
        <v>0</v>
      </c>
      <c r="G501" s="64">
        <v>300004</v>
      </c>
      <c r="H501" s="46">
        <f t="shared" si="22"/>
        <v>300004</v>
      </c>
      <c r="I501" s="64">
        <v>0</v>
      </c>
      <c r="J501" s="46">
        <f t="shared" si="22"/>
        <v>300004</v>
      </c>
      <c r="K501" s="64"/>
      <c r="L501" s="46">
        <f t="shared" si="23"/>
        <v>300004</v>
      </c>
      <c r="M501" s="64">
        <v>10000</v>
      </c>
      <c r="N501" s="46">
        <f t="shared" si="23"/>
        <v>310004</v>
      </c>
      <c r="O501" s="64"/>
      <c r="P501" s="46">
        <f t="shared" si="24"/>
        <v>310004</v>
      </c>
      <c r="R501" s="46">
        <v>142240.25</v>
      </c>
      <c r="S501" s="117">
        <f t="shared" si="21"/>
        <v>45.88335956955394</v>
      </c>
    </row>
    <row r="502" spans="1:19" ht="15.75">
      <c r="A502" s="1" t="s">
        <v>160</v>
      </c>
      <c r="B502" s="10">
        <v>906</v>
      </c>
      <c r="C502" s="10" t="s">
        <v>30</v>
      </c>
      <c r="D502" s="10">
        <v>4360000</v>
      </c>
      <c r="E502" s="10"/>
      <c r="F502" s="46">
        <f>F503</f>
        <v>0</v>
      </c>
      <c r="G502" s="10"/>
      <c r="H502" s="46">
        <f>H503</f>
        <v>350000</v>
      </c>
      <c r="I502" s="10" t="s">
        <v>376</v>
      </c>
      <c r="J502" s="46">
        <f>J503</f>
        <v>350000</v>
      </c>
      <c r="K502" s="10"/>
      <c r="L502" s="46">
        <f>L503</f>
        <v>350000</v>
      </c>
      <c r="M502" s="10"/>
      <c r="N502" s="46">
        <f>N503</f>
        <v>350000</v>
      </c>
      <c r="O502" s="10"/>
      <c r="P502" s="46">
        <f>P503</f>
        <v>350000</v>
      </c>
      <c r="R502" s="46">
        <f>R503</f>
        <v>33040</v>
      </c>
      <c r="S502" s="117">
        <f t="shared" si="21"/>
        <v>9.44</v>
      </c>
    </row>
    <row r="503" spans="1:19" ht="15.75">
      <c r="A503" s="1" t="s">
        <v>327</v>
      </c>
      <c r="B503" s="10">
        <v>906</v>
      </c>
      <c r="C503" s="10" t="s">
        <v>30</v>
      </c>
      <c r="D503" s="10" t="s">
        <v>133</v>
      </c>
      <c r="E503" s="10" t="s">
        <v>326</v>
      </c>
      <c r="F503" s="46">
        <v>0</v>
      </c>
      <c r="G503" s="64">
        <v>350000</v>
      </c>
      <c r="H503" s="46">
        <f>F503+G503</f>
        <v>350000</v>
      </c>
      <c r="I503" s="64">
        <v>0</v>
      </c>
      <c r="J503" s="46">
        <f>H503+I503</f>
        <v>350000</v>
      </c>
      <c r="K503" s="64"/>
      <c r="L503" s="46">
        <f>J503+K503</f>
        <v>350000</v>
      </c>
      <c r="M503" s="64"/>
      <c r="N503" s="46">
        <f>L503+M503</f>
        <v>350000</v>
      </c>
      <c r="O503" s="64"/>
      <c r="P503" s="46">
        <f>N503+O503</f>
        <v>350000</v>
      </c>
      <c r="R503" s="46">
        <v>33040</v>
      </c>
      <c r="S503" s="117">
        <f t="shared" si="21"/>
        <v>9.44</v>
      </c>
    </row>
    <row r="504" spans="1:19" ht="30.75" customHeight="1">
      <c r="A504" s="1" t="s">
        <v>134</v>
      </c>
      <c r="B504" s="10">
        <v>906</v>
      </c>
      <c r="C504" s="10" t="s">
        <v>30</v>
      </c>
      <c r="D504" s="10">
        <v>4520000</v>
      </c>
      <c r="E504" s="10"/>
      <c r="F504" s="45" t="e">
        <f>F505+F506+F507+F508+#REF!</f>
        <v>#REF!</v>
      </c>
      <c r="G504" s="10" t="s">
        <v>376</v>
      </c>
      <c r="H504" s="45">
        <f>H505+H506+H507+H508</f>
        <v>5247185</v>
      </c>
      <c r="I504" s="10" t="s">
        <v>376</v>
      </c>
      <c r="J504" s="45">
        <f>J505+J506+J507+J508</f>
        <v>5247185</v>
      </c>
      <c r="K504" s="10"/>
      <c r="L504" s="45">
        <f>L505+L506+L507+L508+L509</f>
        <v>5247185</v>
      </c>
      <c r="M504" s="10"/>
      <c r="N504" s="45">
        <f>N505+N506+N507+N508+N509</f>
        <v>5247185</v>
      </c>
      <c r="O504" s="10"/>
      <c r="P504" s="45">
        <f>P505+P506+P507+P508+P509</f>
        <v>5247185</v>
      </c>
      <c r="R504" s="45">
        <f>R505+R506+R507+R508+R509</f>
        <v>2211139.4099999997</v>
      </c>
      <c r="S504" s="117">
        <f t="shared" si="21"/>
        <v>42.139535960710354</v>
      </c>
    </row>
    <row r="505" spans="1:19" ht="15.75">
      <c r="A505" s="1" t="s">
        <v>318</v>
      </c>
      <c r="B505" s="10" t="s">
        <v>114</v>
      </c>
      <c r="C505" s="10" t="s">
        <v>30</v>
      </c>
      <c r="D505" s="10" t="s">
        <v>112</v>
      </c>
      <c r="E505" s="10" t="s">
        <v>313</v>
      </c>
      <c r="F505" s="46">
        <v>0</v>
      </c>
      <c r="G505" s="64">
        <v>4187391</v>
      </c>
      <c r="H505" s="46">
        <f>F505+G505</f>
        <v>4187391</v>
      </c>
      <c r="I505" s="64">
        <v>0</v>
      </c>
      <c r="J505" s="46">
        <f>H505+I505</f>
        <v>4187391</v>
      </c>
      <c r="K505" s="64"/>
      <c r="L505" s="46">
        <f>J505+K505</f>
        <v>4187391</v>
      </c>
      <c r="M505" s="64"/>
      <c r="N505" s="46">
        <f>L505+M505</f>
        <v>4187391</v>
      </c>
      <c r="O505" s="64"/>
      <c r="P505" s="46">
        <f>N505+O505</f>
        <v>4187391</v>
      </c>
      <c r="R505" s="46">
        <v>1823638.14</v>
      </c>
      <c r="S505" s="117">
        <f t="shared" si="21"/>
        <v>43.550701140638644</v>
      </c>
    </row>
    <row r="506" spans="1:19" ht="31.5">
      <c r="A506" s="1" t="s">
        <v>319</v>
      </c>
      <c r="B506" s="10">
        <v>906</v>
      </c>
      <c r="C506" s="10" t="s">
        <v>30</v>
      </c>
      <c r="D506" s="10">
        <v>4520000</v>
      </c>
      <c r="E506" s="10" t="s">
        <v>314</v>
      </c>
      <c r="F506" s="46">
        <v>0</v>
      </c>
      <c r="G506" s="64">
        <v>19000</v>
      </c>
      <c r="H506" s="46">
        <f>F506+G506</f>
        <v>19000</v>
      </c>
      <c r="I506" s="64">
        <v>0</v>
      </c>
      <c r="J506" s="46">
        <f>H506+I506</f>
        <v>19000</v>
      </c>
      <c r="K506" s="64"/>
      <c r="L506" s="46">
        <f>J506+K506</f>
        <v>19000</v>
      </c>
      <c r="M506" s="64"/>
      <c r="N506" s="46">
        <f>L506+M506</f>
        <v>19000</v>
      </c>
      <c r="O506" s="64"/>
      <c r="P506" s="46">
        <f>N506+O506</f>
        <v>19000</v>
      </c>
      <c r="R506" s="46">
        <v>9946.53</v>
      </c>
      <c r="S506" s="117">
        <f t="shared" si="21"/>
        <v>52.350157894736846</v>
      </c>
    </row>
    <row r="507" spans="1:19" ht="47.25">
      <c r="A507" s="1" t="s">
        <v>320</v>
      </c>
      <c r="B507" s="10" t="s">
        <v>114</v>
      </c>
      <c r="C507" s="10" t="s">
        <v>30</v>
      </c>
      <c r="D507" s="10" t="s">
        <v>112</v>
      </c>
      <c r="E507" s="10" t="s">
        <v>315</v>
      </c>
      <c r="F507" s="46">
        <v>0</v>
      </c>
      <c r="G507" s="64">
        <v>432052</v>
      </c>
      <c r="H507" s="46">
        <f>F507+G507</f>
        <v>432052</v>
      </c>
      <c r="I507" s="64">
        <v>0</v>
      </c>
      <c r="J507" s="46">
        <f>H507+I507</f>
        <v>432052</v>
      </c>
      <c r="K507" s="64"/>
      <c r="L507" s="46">
        <f>J507+K507</f>
        <v>432052</v>
      </c>
      <c r="M507" s="64">
        <v>-407</v>
      </c>
      <c r="N507" s="46">
        <f>L507+M507</f>
        <v>431645</v>
      </c>
      <c r="O507" s="64"/>
      <c r="P507" s="46">
        <f>N507+O507</f>
        <v>431645</v>
      </c>
      <c r="R507" s="46">
        <v>206733.65</v>
      </c>
      <c r="S507" s="117">
        <f t="shared" si="21"/>
        <v>47.89436921544324</v>
      </c>
    </row>
    <row r="508" spans="1:19" ht="31.5">
      <c r="A508" s="1" t="s">
        <v>365</v>
      </c>
      <c r="B508" s="10">
        <v>906</v>
      </c>
      <c r="C508" s="10" t="s">
        <v>30</v>
      </c>
      <c r="D508" s="10">
        <v>4520000</v>
      </c>
      <c r="E508" s="10" t="s">
        <v>316</v>
      </c>
      <c r="F508" s="46">
        <v>0</v>
      </c>
      <c r="G508" s="64">
        <v>608742</v>
      </c>
      <c r="H508" s="46">
        <f>F508+G508</f>
        <v>608742</v>
      </c>
      <c r="I508" s="64">
        <v>0</v>
      </c>
      <c r="J508" s="46">
        <f>H508+I508</f>
        <v>608742</v>
      </c>
      <c r="K508" s="64">
        <v>-16500</v>
      </c>
      <c r="L508" s="46">
        <f>J508+K508</f>
        <v>592242</v>
      </c>
      <c r="M508" s="64">
        <v>407</v>
      </c>
      <c r="N508" s="46">
        <f>L508+M508</f>
        <v>592649</v>
      </c>
      <c r="O508" s="64"/>
      <c r="P508" s="46">
        <f>N508+O508</f>
        <v>592649</v>
      </c>
      <c r="R508" s="46">
        <v>157821.09</v>
      </c>
      <c r="S508" s="117">
        <f t="shared" si="21"/>
        <v>26.62977411587634</v>
      </c>
    </row>
    <row r="509" spans="1:19" ht="31.5">
      <c r="A509" s="1" t="s">
        <v>322</v>
      </c>
      <c r="B509" s="10" t="s">
        <v>114</v>
      </c>
      <c r="C509" s="10" t="s">
        <v>30</v>
      </c>
      <c r="D509" s="10" t="s">
        <v>112</v>
      </c>
      <c r="E509" s="10" t="s">
        <v>317</v>
      </c>
      <c r="F509" s="46"/>
      <c r="G509" s="64"/>
      <c r="H509" s="46"/>
      <c r="I509" s="64"/>
      <c r="J509" s="46"/>
      <c r="K509" s="64">
        <v>16500</v>
      </c>
      <c r="L509" s="46">
        <f>J509+K509</f>
        <v>16500</v>
      </c>
      <c r="M509" s="64">
        <v>0</v>
      </c>
      <c r="N509" s="46">
        <f>L509+M509</f>
        <v>16500</v>
      </c>
      <c r="O509" s="64"/>
      <c r="P509" s="46">
        <f>N509+O509</f>
        <v>16500</v>
      </c>
      <c r="R509" s="46">
        <v>13000</v>
      </c>
      <c r="S509" s="117">
        <f t="shared" si="21"/>
        <v>78.78787878787878</v>
      </c>
    </row>
    <row r="510" spans="1:19" ht="15.75">
      <c r="A510" s="1" t="s">
        <v>307</v>
      </c>
      <c r="B510" s="10" t="s">
        <v>114</v>
      </c>
      <c r="C510" s="10" t="s">
        <v>30</v>
      </c>
      <c r="D510" s="10" t="s">
        <v>78</v>
      </c>
      <c r="E510" s="10"/>
      <c r="F510" s="46" t="e">
        <f>F511+F513+#REF!+F524+F527+#REF!+F531</f>
        <v>#REF!</v>
      </c>
      <c r="G510" s="10" t="s">
        <v>376</v>
      </c>
      <c r="H510" s="46">
        <f>H511+H513+H524+H527+H531+H517+H515</f>
        <v>5837020</v>
      </c>
      <c r="I510" s="10" t="s">
        <v>376</v>
      </c>
      <c r="J510" s="46">
        <f>J511+J513+J524+J527+J531+J517+J515+J522</f>
        <v>7037407</v>
      </c>
      <c r="K510" s="10"/>
      <c r="L510" s="46">
        <f>L511+L513+L524+L527+L531+L517+L515+L522</f>
        <v>7680334</v>
      </c>
      <c r="M510" s="10"/>
      <c r="N510" s="46">
        <f>N511+N513+N524+N527+N531+N517+N515+N522+N529</f>
        <v>12456334.13</v>
      </c>
      <c r="O510" s="10"/>
      <c r="P510" s="46">
        <f>P511+P513+P524+P527+P531+P517+P515+P522+P529</f>
        <v>12656334.13</v>
      </c>
      <c r="R510" s="46">
        <f>R511+R513+R524+R527+R531+R517+R515+R522+R529</f>
        <v>496074.19</v>
      </c>
      <c r="S510" s="117">
        <f t="shared" si="21"/>
        <v>3.919572483663561</v>
      </c>
    </row>
    <row r="511" spans="1:19" ht="15.75">
      <c r="A511" s="18" t="s">
        <v>551</v>
      </c>
      <c r="B511" s="8" t="s">
        <v>114</v>
      </c>
      <c r="C511" s="8" t="s">
        <v>30</v>
      </c>
      <c r="D511" s="8" t="s">
        <v>344</v>
      </c>
      <c r="E511" s="8"/>
      <c r="F511" s="46">
        <f>F512</f>
        <v>0</v>
      </c>
      <c r="G511" s="8"/>
      <c r="H511" s="46">
        <f>H512</f>
        <v>300000</v>
      </c>
      <c r="I511" s="8"/>
      <c r="J511" s="46">
        <f>J512</f>
        <v>300000</v>
      </c>
      <c r="K511" s="8"/>
      <c r="L511" s="46">
        <f>L512</f>
        <v>300000</v>
      </c>
      <c r="M511" s="8"/>
      <c r="N511" s="46">
        <f>N512</f>
        <v>300000</v>
      </c>
      <c r="O511" s="8"/>
      <c r="P511" s="46">
        <f>P512</f>
        <v>300000</v>
      </c>
      <c r="R511" s="46">
        <f>R512</f>
        <v>149750</v>
      </c>
      <c r="S511" s="117">
        <f t="shared" si="21"/>
        <v>49.916666666666664</v>
      </c>
    </row>
    <row r="512" spans="1:19" ht="30.75" customHeight="1">
      <c r="A512" s="1" t="s">
        <v>365</v>
      </c>
      <c r="B512" s="8" t="s">
        <v>114</v>
      </c>
      <c r="C512" s="8" t="s">
        <v>30</v>
      </c>
      <c r="D512" s="8" t="s">
        <v>344</v>
      </c>
      <c r="E512" s="8" t="s">
        <v>316</v>
      </c>
      <c r="F512" s="46">
        <v>0</v>
      </c>
      <c r="G512" s="73">
        <v>300000</v>
      </c>
      <c r="H512" s="46">
        <f>F512+G512</f>
        <v>300000</v>
      </c>
      <c r="I512" s="73">
        <v>0</v>
      </c>
      <c r="J512" s="46">
        <f>H512+I512</f>
        <v>300000</v>
      </c>
      <c r="K512" s="73"/>
      <c r="L512" s="46">
        <f>J512+K512</f>
        <v>300000</v>
      </c>
      <c r="M512" s="73"/>
      <c r="N512" s="46">
        <f>L512+M512</f>
        <v>300000</v>
      </c>
      <c r="O512" s="73"/>
      <c r="P512" s="46">
        <f>N512+O512</f>
        <v>300000</v>
      </c>
      <c r="R512" s="46">
        <v>149750</v>
      </c>
      <c r="S512" s="117">
        <f t="shared" si="21"/>
        <v>49.916666666666664</v>
      </c>
    </row>
    <row r="513" spans="1:19" ht="78.75" hidden="1">
      <c r="A513" s="18" t="s">
        <v>308</v>
      </c>
      <c r="B513" s="8" t="s">
        <v>114</v>
      </c>
      <c r="C513" s="8" t="s">
        <v>30</v>
      </c>
      <c r="D513" s="8" t="s">
        <v>258</v>
      </c>
      <c r="E513" s="8"/>
      <c r="F513" s="46" t="e">
        <f>#REF!+F514</f>
        <v>#REF!</v>
      </c>
      <c r="G513" s="8"/>
      <c r="H513" s="46">
        <f>H514</f>
        <v>56500</v>
      </c>
      <c r="I513" s="8"/>
      <c r="J513" s="46">
        <f>J514</f>
        <v>0</v>
      </c>
      <c r="K513" s="8"/>
      <c r="L513" s="46">
        <f>L514</f>
        <v>0</v>
      </c>
      <c r="M513" s="8"/>
      <c r="N513" s="46">
        <f>N514</f>
        <v>0</v>
      </c>
      <c r="O513" s="8"/>
      <c r="P513" s="46">
        <f>P514</f>
        <v>0</v>
      </c>
      <c r="R513" s="46">
        <f>R514</f>
        <v>0</v>
      </c>
      <c r="S513" s="117" t="e">
        <f t="shared" si="21"/>
        <v>#DIV/0!</v>
      </c>
    </row>
    <row r="514" spans="1:19" ht="15.75" hidden="1">
      <c r="A514" s="1" t="s">
        <v>327</v>
      </c>
      <c r="B514" s="8" t="s">
        <v>114</v>
      </c>
      <c r="C514" s="8" t="s">
        <v>30</v>
      </c>
      <c r="D514" s="8" t="s">
        <v>258</v>
      </c>
      <c r="E514" s="8" t="s">
        <v>326</v>
      </c>
      <c r="F514" s="46">
        <v>0</v>
      </c>
      <c r="G514" s="73">
        <v>56500</v>
      </c>
      <c r="H514" s="46">
        <f>F514+G514</f>
        <v>56500</v>
      </c>
      <c r="I514" s="73">
        <v>-56500</v>
      </c>
      <c r="J514" s="46">
        <f>H514+I514</f>
        <v>0</v>
      </c>
      <c r="K514" s="73"/>
      <c r="L514" s="46">
        <f>J514+K514</f>
        <v>0</v>
      </c>
      <c r="M514" s="73"/>
      <c r="N514" s="46">
        <f>L514+M514</f>
        <v>0</v>
      </c>
      <c r="O514" s="73"/>
      <c r="P514" s="46">
        <f>N514+O514</f>
        <v>0</v>
      </c>
      <c r="R514" s="46">
        <f>P514+Q514</f>
        <v>0</v>
      </c>
      <c r="S514" s="117" t="e">
        <f t="shared" si="21"/>
        <v>#DIV/0!</v>
      </c>
    </row>
    <row r="515" spans="1:19" ht="63">
      <c r="A515" s="1" t="s">
        <v>533</v>
      </c>
      <c r="B515" s="8" t="s">
        <v>114</v>
      </c>
      <c r="C515" s="8" t="s">
        <v>30</v>
      </c>
      <c r="D515" s="8" t="s">
        <v>257</v>
      </c>
      <c r="E515" s="8"/>
      <c r="F515" s="46"/>
      <c r="G515" s="73"/>
      <c r="H515" s="46">
        <f>H516</f>
        <v>130520</v>
      </c>
      <c r="I515" s="73"/>
      <c r="J515" s="46">
        <f>J516</f>
        <v>130520</v>
      </c>
      <c r="K515" s="73"/>
      <c r="L515" s="46">
        <f>L516</f>
        <v>93447</v>
      </c>
      <c r="M515" s="73"/>
      <c r="N515" s="46">
        <f>N516</f>
        <v>95247.13</v>
      </c>
      <c r="O515" s="73"/>
      <c r="P515" s="46">
        <f>P516</f>
        <v>95247.13</v>
      </c>
      <c r="R515" s="46">
        <f>R516</f>
        <v>0</v>
      </c>
      <c r="S515" s="117">
        <f t="shared" si="21"/>
        <v>0</v>
      </c>
    </row>
    <row r="516" spans="1:19" ht="47.25">
      <c r="A516" s="1" t="s">
        <v>320</v>
      </c>
      <c r="B516" s="8" t="s">
        <v>114</v>
      </c>
      <c r="C516" s="8" t="s">
        <v>30</v>
      </c>
      <c r="D516" s="8" t="s">
        <v>257</v>
      </c>
      <c r="E516" s="8" t="s">
        <v>315</v>
      </c>
      <c r="F516" s="46"/>
      <c r="G516" s="73">
        <v>130520</v>
      </c>
      <c r="H516" s="46">
        <f>G516</f>
        <v>130520</v>
      </c>
      <c r="I516" s="73">
        <v>0</v>
      </c>
      <c r="J516" s="46">
        <f>H516+I516</f>
        <v>130520</v>
      </c>
      <c r="K516" s="73">
        <v>-37073</v>
      </c>
      <c r="L516" s="46">
        <f>J516+K516</f>
        <v>93447</v>
      </c>
      <c r="M516" s="73">
        <v>1800.13</v>
      </c>
      <c r="N516" s="46">
        <f>L516+M516</f>
        <v>95247.13</v>
      </c>
      <c r="O516" s="73"/>
      <c r="P516" s="46">
        <f>N516+O516</f>
        <v>95247.13</v>
      </c>
      <c r="R516" s="46">
        <v>0</v>
      </c>
      <c r="S516" s="117">
        <f t="shared" si="21"/>
        <v>0</v>
      </c>
    </row>
    <row r="517" spans="1:19" ht="82.5" customHeight="1">
      <c r="A517" s="75" t="s">
        <v>747</v>
      </c>
      <c r="B517" s="74" t="s">
        <v>114</v>
      </c>
      <c r="C517" s="29" t="s">
        <v>30</v>
      </c>
      <c r="D517" s="29" t="s">
        <v>545</v>
      </c>
      <c r="E517" s="29"/>
      <c r="F517" s="46"/>
      <c r="G517" s="65"/>
      <c r="H517" s="46">
        <f>H518</f>
        <v>0</v>
      </c>
      <c r="I517" s="65">
        <v>0</v>
      </c>
      <c r="J517" s="46">
        <f>J518</f>
        <v>1024887</v>
      </c>
      <c r="K517" s="65"/>
      <c r="L517" s="46">
        <f>L518+L521</f>
        <v>1219887</v>
      </c>
      <c r="M517" s="65"/>
      <c r="N517" s="46">
        <f>N518+N521+N519+N520</f>
        <v>5939887</v>
      </c>
      <c r="O517" s="65"/>
      <c r="P517" s="46">
        <f>P518+P521+P519+P520</f>
        <v>6139887</v>
      </c>
      <c r="R517" s="46">
        <f>R518+R521+R519+R520</f>
        <v>127943</v>
      </c>
      <c r="S517" s="117">
        <f t="shared" si="21"/>
        <v>2.0838005650592595</v>
      </c>
    </row>
    <row r="518" spans="1:19" ht="31.5">
      <c r="A518" s="1" t="s">
        <v>365</v>
      </c>
      <c r="B518" s="29" t="s">
        <v>114</v>
      </c>
      <c r="C518" s="29" t="s">
        <v>30</v>
      </c>
      <c r="D518" s="29" t="s">
        <v>545</v>
      </c>
      <c r="E518" s="29" t="s">
        <v>316</v>
      </c>
      <c r="F518" s="46"/>
      <c r="G518" s="65">
        <v>232000</v>
      </c>
      <c r="H518" s="46"/>
      <c r="I518" s="65">
        <v>1024887</v>
      </c>
      <c r="J518" s="46">
        <f>H518+I518</f>
        <v>1024887</v>
      </c>
      <c r="K518" s="65">
        <v>155879</v>
      </c>
      <c r="L518" s="46">
        <f>J518+K518</f>
        <v>1180766</v>
      </c>
      <c r="M518" s="65">
        <v>-1000000</v>
      </c>
      <c r="N518" s="46">
        <f>L518+M518</f>
        <v>180766</v>
      </c>
      <c r="O518" s="65"/>
      <c r="P518" s="46">
        <f>N518+O518</f>
        <v>180766</v>
      </c>
      <c r="R518" s="46">
        <v>88822</v>
      </c>
      <c r="S518" s="117">
        <f t="shared" si="21"/>
        <v>49.136452651494196</v>
      </c>
    </row>
    <row r="519" spans="1:19" ht="50.25" customHeight="1">
      <c r="A519" s="1" t="s">
        <v>709</v>
      </c>
      <c r="B519" s="29" t="s">
        <v>114</v>
      </c>
      <c r="C519" s="29" t="s">
        <v>30</v>
      </c>
      <c r="D519" s="29" t="s">
        <v>545</v>
      </c>
      <c r="E519" s="29" t="s">
        <v>368</v>
      </c>
      <c r="F519" s="46"/>
      <c r="G519" s="65"/>
      <c r="H519" s="46"/>
      <c r="I519" s="65"/>
      <c r="J519" s="46"/>
      <c r="K519" s="65"/>
      <c r="L519" s="46"/>
      <c r="M519" s="65">
        <v>3720000</v>
      </c>
      <c r="N519" s="46">
        <f>L519+M519</f>
        <v>3720000</v>
      </c>
      <c r="O519" s="65"/>
      <c r="P519" s="46">
        <f>N519+O519</f>
        <v>3720000</v>
      </c>
      <c r="R519" s="46">
        <v>0</v>
      </c>
      <c r="S519" s="117">
        <f t="shared" si="21"/>
        <v>0</v>
      </c>
    </row>
    <row r="520" spans="1:19" ht="48.75" customHeight="1">
      <c r="A520" s="1" t="s">
        <v>708</v>
      </c>
      <c r="B520" s="29" t="s">
        <v>114</v>
      </c>
      <c r="C520" s="29" t="s">
        <v>30</v>
      </c>
      <c r="D520" s="29" t="s">
        <v>545</v>
      </c>
      <c r="E520" s="29" t="s">
        <v>702</v>
      </c>
      <c r="F520" s="46"/>
      <c r="G520" s="65"/>
      <c r="H520" s="46"/>
      <c r="I520" s="65"/>
      <c r="J520" s="46"/>
      <c r="K520" s="65"/>
      <c r="L520" s="46"/>
      <c r="M520" s="65">
        <v>2000000</v>
      </c>
      <c r="N520" s="46">
        <f>L520+M520</f>
        <v>2000000</v>
      </c>
      <c r="O520" s="65"/>
      <c r="P520" s="46">
        <f>N520+O520</f>
        <v>2000000</v>
      </c>
      <c r="R520" s="46">
        <v>0</v>
      </c>
      <c r="S520" s="117">
        <f t="shared" si="21"/>
        <v>0</v>
      </c>
    </row>
    <row r="521" spans="1:19" ht="31.5">
      <c r="A521" s="1" t="s">
        <v>341</v>
      </c>
      <c r="B521" s="29" t="s">
        <v>114</v>
      </c>
      <c r="C521" s="29" t="s">
        <v>30</v>
      </c>
      <c r="D521" s="29" t="s">
        <v>545</v>
      </c>
      <c r="E521" s="29" t="s">
        <v>340</v>
      </c>
      <c r="F521" s="46"/>
      <c r="G521" s="65"/>
      <c r="H521" s="46"/>
      <c r="I521" s="65"/>
      <c r="J521" s="46"/>
      <c r="K521" s="65">
        <v>39121</v>
      </c>
      <c r="L521" s="46">
        <f>J521+K521</f>
        <v>39121</v>
      </c>
      <c r="M521" s="65"/>
      <c r="N521" s="46">
        <f>L521+M521</f>
        <v>39121</v>
      </c>
      <c r="O521" s="65">
        <v>200000</v>
      </c>
      <c r="P521" s="46">
        <f>N521+O521</f>
        <v>239121</v>
      </c>
      <c r="R521" s="46">
        <v>39121</v>
      </c>
      <c r="S521" s="117">
        <f t="shared" si="21"/>
        <v>16.360336398727004</v>
      </c>
    </row>
    <row r="522" spans="1:19" ht="114" customHeight="1">
      <c r="A522" s="75" t="s">
        <v>748</v>
      </c>
      <c r="B522" s="74" t="s">
        <v>114</v>
      </c>
      <c r="C522" s="29" t="s">
        <v>30</v>
      </c>
      <c r="D522" s="29" t="s">
        <v>575</v>
      </c>
      <c r="E522" s="29"/>
      <c r="F522" s="46"/>
      <c r="G522" s="65"/>
      <c r="H522" s="46">
        <f>H523</f>
        <v>232000</v>
      </c>
      <c r="I522" s="65">
        <v>0</v>
      </c>
      <c r="J522" s="46">
        <f>J523</f>
        <v>232000</v>
      </c>
      <c r="K522" s="65"/>
      <c r="L522" s="46">
        <f>L523</f>
        <v>232000</v>
      </c>
      <c r="M522" s="65"/>
      <c r="N522" s="46">
        <f>N523</f>
        <v>232000</v>
      </c>
      <c r="O522" s="65"/>
      <c r="P522" s="46">
        <f>P523</f>
        <v>232000</v>
      </c>
      <c r="R522" s="46">
        <f>R523</f>
        <v>14500</v>
      </c>
      <c r="S522" s="117">
        <f t="shared" si="21"/>
        <v>6.25</v>
      </c>
    </row>
    <row r="523" spans="1:19" ht="31.5">
      <c r="A523" s="1" t="s">
        <v>365</v>
      </c>
      <c r="B523" s="29" t="s">
        <v>114</v>
      </c>
      <c r="C523" s="29" t="s">
        <v>30</v>
      </c>
      <c r="D523" s="29" t="s">
        <v>575</v>
      </c>
      <c r="E523" s="29" t="s">
        <v>316</v>
      </c>
      <c r="F523" s="46"/>
      <c r="G523" s="65">
        <v>232000</v>
      </c>
      <c r="H523" s="46">
        <f>G523</f>
        <v>232000</v>
      </c>
      <c r="I523" s="65">
        <v>0</v>
      </c>
      <c r="J523" s="46">
        <f>H523+I523</f>
        <v>232000</v>
      </c>
      <c r="K523" s="65"/>
      <c r="L523" s="46">
        <f>J523+K523</f>
        <v>232000</v>
      </c>
      <c r="M523" s="65"/>
      <c r="N523" s="46">
        <f>L523+M523</f>
        <v>232000</v>
      </c>
      <c r="O523" s="65"/>
      <c r="P523" s="46">
        <f>N523+O523</f>
        <v>232000</v>
      </c>
      <c r="R523" s="46">
        <v>14500</v>
      </c>
      <c r="S523" s="117">
        <f t="shared" si="21"/>
        <v>6.25</v>
      </c>
    </row>
    <row r="524" spans="1:19" ht="78.75">
      <c r="A524" s="18" t="s">
        <v>309</v>
      </c>
      <c r="B524" s="29" t="s">
        <v>114</v>
      </c>
      <c r="C524" s="29" t="s">
        <v>30</v>
      </c>
      <c r="D524" s="29" t="s">
        <v>265</v>
      </c>
      <c r="E524" s="29"/>
      <c r="F524" s="46">
        <f>F525</f>
        <v>0</v>
      </c>
      <c r="G524" s="29"/>
      <c r="H524" s="46">
        <f>H525</f>
        <v>600000</v>
      </c>
      <c r="I524" s="29"/>
      <c r="J524" s="46">
        <f>J525</f>
        <v>600000</v>
      </c>
      <c r="K524" s="29"/>
      <c r="L524" s="46">
        <f>L525</f>
        <v>600000</v>
      </c>
      <c r="M524" s="29"/>
      <c r="N524" s="46">
        <f>N525+N526</f>
        <v>600000</v>
      </c>
      <c r="O524" s="29"/>
      <c r="P524" s="46">
        <f>P525+P526</f>
        <v>600000</v>
      </c>
      <c r="R524" s="46">
        <f>R525+R526</f>
        <v>183045.19</v>
      </c>
      <c r="S524" s="117">
        <f t="shared" si="21"/>
        <v>30.507531666666665</v>
      </c>
    </row>
    <row r="525" spans="1:19" ht="31.5">
      <c r="A525" s="1" t="s">
        <v>365</v>
      </c>
      <c r="B525" s="29" t="s">
        <v>114</v>
      </c>
      <c r="C525" s="29" t="s">
        <v>30</v>
      </c>
      <c r="D525" s="29" t="s">
        <v>265</v>
      </c>
      <c r="E525" s="29" t="s">
        <v>316</v>
      </c>
      <c r="F525" s="46">
        <v>0</v>
      </c>
      <c r="G525" s="65">
        <v>600000</v>
      </c>
      <c r="H525" s="46">
        <f>F525+G525</f>
        <v>600000</v>
      </c>
      <c r="I525" s="65">
        <v>0</v>
      </c>
      <c r="J525" s="46">
        <f>H525+I525</f>
        <v>600000</v>
      </c>
      <c r="K525" s="65"/>
      <c r="L525" s="46">
        <f>J525+K525</f>
        <v>600000</v>
      </c>
      <c r="M525" s="65">
        <v>-23750</v>
      </c>
      <c r="N525" s="46">
        <f>L525+M525</f>
        <v>576250</v>
      </c>
      <c r="O525" s="65"/>
      <c r="P525" s="46">
        <f>N525+O525</f>
        <v>576250</v>
      </c>
      <c r="R525" s="46">
        <v>183045.19</v>
      </c>
      <c r="S525" s="117">
        <f aca="true" t="shared" si="25" ref="S525:S588">R525/P525*100</f>
        <v>31.764891973969632</v>
      </c>
    </row>
    <row r="526" spans="1:19" ht="31.5">
      <c r="A526" s="1" t="s">
        <v>706</v>
      </c>
      <c r="B526" s="29" t="s">
        <v>114</v>
      </c>
      <c r="C526" s="29" t="s">
        <v>30</v>
      </c>
      <c r="D526" s="29" t="s">
        <v>265</v>
      </c>
      <c r="E526" s="29" t="s">
        <v>705</v>
      </c>
      <c r="F526" s="46"/>
      <c r="G526" s="65"/>
      <c r="H526" s="46"/>
      <c r="I526" s="65"/>
      <c r="J526" s="46"/>
      <c r="K526" s="65"/>
      <c r="L526" s="46"/>
      <c r="M526" s="65">
        <v>23750</v>
      </c>
      <c r="N526" s="46">
        <f>L526+M526</f>
        <v>23750</v>
      </c>
      <c r="O526" s="65"/>
      <c r="P526" s="46">
        <f>N526+O526</f>
        <v>23750</v>
      </c>
      <c r="R526" s="46">
        <v>0</v>
      </c>
      <c r="S526" s="117">
        <f t="shared" si="25"/>
        <v>0</v>
      </c>
    </row>
    <row r="527" spans="1:19" ht="94.5">
      <c r="A527" s="18" t="s">
        <v>310</v>
      </c>
      <c r="B527" s="29" t="s">
        <v>114</v>
      </c>
      <c r="C527" s="29" t="s">
        <v>30</v>
      </c>
      <c r="D527" s="29" t="s">
        <v>284</v>
      </c>
      <c r="E527" s="29"/>
      <c r="F527" s="46" t="e">
        <f>#REF!+F528</f>
        <v>#REF!</v>
      </c>
      <c r="G527" s="29"/>
      <c r="H527" s="46">
        <f>H528</f>
        <v>1750000</v>
      </c>
      <c r="I527" s="29" t="s">
        <v>376</v>
      </c>
      <c r="J527" s="46">
        <f>J528</f>
        <v>1750000</v>
      </c>
      <c r="K527" s="29"/>
      <c r="L527" s="46">
        <f>L528</f>
        <v>1750000</v>
      </c>
      <c r="M527" s="29"/>
      <c r="N527" s="46">
        <f>N528</f>
        <v>1750000</v>
      </c>
      <c r="O527" s="29"/>
      <c r="P527" s="46">
        <f>P528</f>
        <v>1750000</v>
      </c>
      <c r="R527" s="46">
        <f>R528</f>
        <v>0</v>
      </c>
      <c r="S527" s="117">
        <f t="shared" si="25"/>
        <v>0</v>
      </c>
    </row>
    <row r="528" spans="1:19" ht="31.5">
      <c r="A528" s="1" t="s">
        <v>365</v>
      </c>
      <c r="B528" s="29" t="s">
        <v>114</v>
      </c>
      <c r="C528" s="29" t="s">
        <v>30</v>
      </c>
      <c r="D528" s="29" t="s">
        <v>284</v>
      </c>
      <c r="E528" s="29" t="s">
        <v>316</v>
      </c>
      <c r="F528" s="46">
        <v>0</v>
      </c>
      <c r="G528" s="65">
        <v>1750000</v>
      </c>
      <c r="H528" s="46">
        <f>F528+G528</f>
        <v>1750000</v>
      </c>
      <c r="I528" s="65">
        <v>0</v>
      </c>
      <c r="J528" s="46">
        <f>H528+I528</f>
        <v>1750000</v>
      </c>
      <c r="K528" s="65"/>
      <c r="L528" s="46">
        <f>J528+K528</f>
        <v>1750000</v>
      </c>
      <c r="M528" s="65"/>
      <c r="N528" s="46">
        <f>L528+M528</f>
        <v>1750000</v>
      </c>
      <c r="O528" s="65"/>
      <c r="P528" s="46">
        <f>N528+O528</f>
        <v>1750000</v>
      </c>
      <c r="R528" s="46">
        <v>0</v>
      </c>
      <c r="S528" s="117">
        <f t="shared" si="25"/>
        <v>0</v>
      </c>
    </row>
    <row r="529" spans="1:19" s="96" customFormat="1" ht="63" customHeight="1">
      <c r="A529" s="97" t="s">
        <v>749</v>
      </c>
      <c r="B529" s="8" t="s">
        <v>114</v>
      </c>
      <c r="C529" s="8" t="s">
        <v>30</v>
      </c>
      <c r="D529" s="8" t="s">
        <v>300</v>
      </c>
      <c r="E529" s="8"/>
      <c r="F529" s="98"/>
      <c r="G529" s="73"/>
      <c r="H529" s="98"/>
      <c r="I529" s="73"/>
      <c r="J529" s="98"/>
      <c r="K529" s="73"/>
      <c r="L529" s="98"/>
      <c r="M529" s="73"/>
      <c r="N529" s="98">
        <f>N530</f>
        <v>54200</v>
      </c>
      <c r="O529" s="73"/>
      <c r="P529" s="98">
        <f>P530</f>
        <v>54200</v>
      </c>
      <c r="R529" s="98">
        <f>R530</f>
        <v>0</v>
      </c>
      <c r="S529" s="117">
        <f t="shared" si="25"/>
        <v>0</v>
      </c>
    </row>
    <row r="530" spans="1:19" s="96" customFormat="1" ht="31.5">
      <c r="A530" s="67" t="s">
        <v>365</v>
      </c>
      <c r="B530" s="8" t="s">
        <v>114</v>
      </c>
      <c r="C530" s="8" t="s">
        <v>30</v>
      </c>
      <c r="D530" s="8" t="s">
        <v>300</v>
      </c>
      <c r="E530" s="8" t="s">
        <v>316</v>
      </c>
      <c r="F530" s="98"/>
      <c r="G530" s="73"/>
      <c r="H530" s="98"/>
      <c r="I530" s="73"/>
      <c r="J530" s="98"/>
      <c r="K530" s="73"/>
      <c r="L530" s="98"/>
      <c r="M530" s="73">
        <v>54200</v>
      </c>
      <c r="N530" s="98">
        <f>L530+M530</f>
        <v>54200</v>
      </c>
      <c r="O530" s="73"/>
      <c r="P530" s="98">
        <f>N530+O530</f>
        <v>54200</v>
      </c>
      <c r="R530" s="98">
        <v>0</v>
      </c>
      <c r="S530" s="117">
        <f t="shared" si="25"/>
        <v>0</v>
      </c>
    </row>
    <row r="531" spans="1:19" ht="63">
      <c r="A531" s="18" t="s">
        <v>374</v>
      </c>
      <c r="B531" s="29" t="s">
        <v>114</v>
      </c>
      <c r="C531" s="29" t="s">
        <v>30</v>
      </c>
      <c r="D531" s="29" t="s">
        <v>375</v>
      </c>
      <c r="E531" s="29"/>
      <c r="F531" s="46" t="e">
        <f>F532+#REF!</f>
        <v>#REF!</v>
      </c>
      <c r="G531" s="29"/>
      <c r="H531" s="46">
        <f>H532</f>
        <v>3000000</v>
      </c>
      <c r="I531" s="29"/>
      <c r="J531" s="46">
        <f>J532</f>
        <v>3000000</v>
      </c>
      <c r="K531" s="29"/>
      <c r="L531" s="46">
        <f>L532+L533</f>
        <v>3485000</v>
      </c>
      <c r="M531" s="29"/>
      <c r="N531" s="46">
        <f>N532+N533</f>
        <v>3485000</v>
      </c>
      <c r="O531" s="29"/>
      <c r="P531" s="46">
        <f>P532+P533</f>
        <v>3485000</v>
      </c>
      <c r="R531" s="46">
        <f>R532+R533</f>
        <v>20836</v>
      </c>
      <c r="S531" s="117">
        <f t="shared" si="25"/>
        <v>0.5978766140602583</v>
      </c>
    </row>
    <row r="532" spans="1:19" ht="47.25">
      <c r="A532" s="1" t="s">
        <v>366</v>
      </c>
      <c r="B532" s="29" t="s">
        <v>114</v>
      </c>
      <c r="C532" s="29" t="s">
        <v>30</v>
      </c>
      <c r="D532" s="29" t="s">
        <v>375</v>
      </c>
      <c r="E532" s="29" t="s">
        <v>325</v>
      </c>
      <c r="F532" s="46">
        <v>0</v>
      </c>
      <c r="G532" s="65">
        <v>3000000</v>
      </c>
      <c r="H532" s="46">
        <f>F532+G532</f>
        <v>3000000</v>
      </c>
      <c r="I532" s="65">
        <v>0</v>
      </c>
      <c r="J532" s="46">
        <f>H532+I532</f>
        <v>3000000</v>
      </c>
      <c r="K532" s="65">
        <v>464164</v>
      </c>
      <c r="L532" s="46">
        <f>J532+K532</f>
        <v>3464164</v>
      </c>
      <c r="M532" s="65">
        <v>0</v>
      </c>
      <c r="N532" s="46">
        <f>L532+M532</f>
        <v>3464164</v>
      </c>
      <c r="O532" s="65">
        <v>-29164</v>
      </c>
      <c r="P532" s="46">
        <f>N532+O532</f>
        <v>3435000</v>
      </c>
      <c r="R532" s="46">
        <v>0</v>
      </c>
      <c r="S532" s="117">
        <f t="shared" si="25"/>
        <v>0</v>
      </c>
    </row>
    <row r="533" spans="1:19" ht="31.5">
      <c r="A533" s="1" t="s">
        <v>341</v>
      </c>
      <c r="B533" s="29" t="s">
        <v>114</v>
      </c>
      <c r="C533" s="29" t="s">
        <v>30</v>
      </c>
      <c r="D533" s="29" t="s">
        <v>375</v>
      </c>
      <c r="E533" s="29" t="s">
        <v>340</v>
      </c>
      <c r="F533" s="46"/>
      <c r="G533" s="65"/>
      <c r="H533" s="46"/>
      <c r="I533" s="65"/>
      <c r="J533" s="46"/>
      <c r="K533" s="65">
        <v>20836</v>
      </c>
      <c r="L533" s="46">
        <f>J533+K533</f>
        <v>20836</v>
      </c>
      <c r="M533" s="65">
        <v>0</v>
      </c>
      <c r="N533" s="46">
        <f>L533+M533</f>
        <v>20836</v>
      </c>
      <c r="O533" s="65">
        <v>29164</v>
      </c>
      <c r="P533" s="46">
        <f>N533+O533</f>
        <v>50000</v>
      </c>
      <c r="R533" s="46">
        <v>20836</v>
      </c>
      <c r="S533" s="117">
        <f t="shared" si="25"/>
        <v>41.672</v>
      </c>
    </row>
    <row r="534" spans="1:19" s="94" customFormat="1" ht="32.25" customHeight="1">
      <c r="A534" s="92" t="s">
        <v>750</v>
      </c>
      <c r="B534" s="29" t="s">
        <v>114</v>
      </c>
      <c r="C534" s="29" t="s">
        <v>30</v>
      </c>
      <c r="D534" s="29" t="s">
        <v>294</v>
      </c>
      <c r="E534" s="29"/>
      <c r="F534" s="93"/>
      <c r="G534" s="65"/>
      <c r="H534" s="93"/>
      <c r="I534" s="65"/>
      <c r="J534" s="93"/>
      <c r="K534" s="65"/>
      <c r="L534" s="93">
        <f>L535</f>
        <v>222242</v>
      </c>
      <c r="M534" s="65"/>
      <c r="N534" s="93">
        <f>N535</f>
        <v>222242</v>
      </c>
      <c r="O534" s="65"/>
      <c r="P534" s="93">
        <f>P535</f>
        <v>222242</v>
      </c>
      <c r="R534" s="93">
        <f>R535</f>
        <v>0</v>
      </c>
      <c r="S534" s="117">
        <f t="shared" si="25"/>
        <v>0</v>
      </c>
    </row>
    <row r="535" spans="1:19" ht="47.25">
      <c r="A535" s="1" t="s">
        <v>320</v>
      </c>
      <c r="B535" s="29" t="s">
        <v>114</v>
      </c>
      <c r="C535" s="29" t="s">
        <v>30</v>
      </c>
      <c r="D535" s="29" t="s">
        <v>294</v>
      </c>
      <c r="E535" s="29" t="s">
        <v>315</v>
      </c>
      <c r="F535" s="46"/>
      <c r="G535" s="65"/>
      <c r="H535" s="46"/>
      <c r="I535" s="65"/>
      <c r="J535" s="46"/>
      <c r="K535" s="65">
        <v>222242</v>
      </c>
      <c r="L535" s="46">
        <f>J535+K535</f>
        <v>222242</v>
      </c>
      <c r="M535" s="65">
        <v>0</v>
      </c>
      <c r="N535" s="46">
        <f>L535+M535</f>
        <v>222242</v>
      </c>
      <c r="O535" s="65"/>
      <c r="P535" s="46">
        <f>N535+O535</f>
        <v>222242</v>
      </c>
      <c r="R535" s="46">
        <v>0</v>
      </c>
      <c r="S535" s="117">
        <f t="shared" si="25"/>
        <v>0</v>
      </c>
    </row>
    <row r="536" spans="1:19" ht="15.75">
      <c r="A536" s="9" t="s">
        <v>166</v>
      </c>
      <c r="B536" s="8" t="s">
        <v>114</v>
      </c>
      <c r="C536" s="8" t="s">
        <v>125</v>
      </c>
      <c r="D536" s="8"/>
      <c r="E536" s="8"/>
      <c r="F536" s="46" t="e">
        <f>F537</f>
        <v>#REF!</v>
      </c>
      <c r="G536" s="8"/>
      <c r="H536" s="46">
        <f>H537</f>
        <v>109800</v>
      </c>
      <c r="I536" s="8"/>
      <c r="J536" s="46">
        <f>J537</f>
        <v>109800</v>
      </c>
      <c r="K536" s="8"/>
      <c r="L536" s="46">
        <f>L537</f>
        <v>109800</v>
      </c>
      <c r="M536" s="8"/>
      <c r="N536" s="46">
        <f>N537</f>
        <v>109800</v>
      </c>
      <c r="O536" s="8"/>
      <c r="P536" s="46">
        <f>P537</f>
        <v>109800</v>
      </c>
      <c r="R536" s="46">
        <f>R537</f>
        <v>47757.5</v>
      </c>
      <c r="S536" s="117">
        <f t="shared" si="25"/>
        <v>43.494990892531874</v>
      </c>
    </row>
    <row r="537" spans="1:19" ht="31.5">
      <c r="A537" s="9" t="s">
        <v>126</v>
      </c>
      <c r="B537" s="8" t="s">
        <v>114</v>
      </c>
      <c r="C537" s="8" t="s">
        <v>125</v>
      </c>
      <c r="D537" s="8" t="s">
        <v>127</v>
      </c>
      <c r="E537" s="8"/>
      <c r="F537" s="46" t="e">
        <f>#REF!</f>
        <v>#REF!</v>
      </c>
      <c r="G537" s="8"/>
      <c r="H537" s="46">
        <f>H538</f>
        <v>109800</v>
      </c>
      <c r="I537" s="8"/>
      <c r="J537" s="46">
        <f>J538</f>
        <v>109800</v>
      </c>
      <c r="K537" s="8"/>
      <c r="L537" s="46">
        <f>L538</f>
        <v>109800</v>
      </c>
      <c r="M537" s="8"/>
      <c r="N537" s="46">
        <f>N538</f>
        <v>109800</v>
      </c>
      <c r="O537" s="8"/>
      <c r="P537" s="46">
        <f>P538</f>
        <v>109800</v>
      </c>
      <c r="R537" s="46">
        <f>R538</f>
        <v>47757.5</v>
      </c>
      <c r="S537" s="117">
        <f t="shared" si="25"/>
        <v>43.494990892531874</v>
      </c>
    </row>
    <row r="538" spans="1:19" ht="31.5">
      <c r="A538" s="18" t="s">
        <v>346</v>
      </c>
      <c r="B538" s="8" t="s">
        <v>114</v>
      </c>
      <c r="C538" s="8" t="s">
        <v>125</v>
      </c>
      <c r="D538" s="8" t="s">
        <v>129</v>
      </c>
      <c r="E538" s="8" t="s">
        <v>345</v>
      </c>
      <c r="F538" s="46">
        <v>0</v>
      </c>
      <c r="G538" s="73">
        <v>109800</v>
      </c>
      <c r="H538" s="46">
        <f>F538+G538</f>
        <v>109800</v>
      </c>
      <c r="I538" s="73">
        <v>0</v>
      </c>
      <c r="J538" s="46">
        <f>H538+I538</f>
        <v>109800</v>
      </c>
      <c r="K538" s="73"/>
      <c r="L538" s="46">
        <f>J538+K538</f>
        <v>109800</v>
      </c>
      <c r="M538" s="73"/>
      <c r="N538" s="46">
        <f>L538+M538</f>
        <v>109800</v>
      </c>
      <c r="O538" s="73"/>
      <c r="P538" s="46">
        <f>N538+O538</f>
        <v>109800</v>
      </c>
      <c r="R538" s="46">
        <v>47757.5</v>
      </c>
      <c r="S538" s="117">
        <f t="shared" si="25"/>
        <v>43.494990892531874</v>
      </c>
    </row>
    <row r="539" spans="1:19" ht="47.25">
      <c r="A539" s="22" t="s">
        <v>249</v>
      </c>
      <c r="B539" s="16">
        <v>908</v>
      </c>
      <c r="C539" s="10"/>
      <c r="D539" s="10"/>
      <c r="E539" s="10"/>
      <c r="F539" s="42" t="e">
        <f>F540+F559</f>
        <v>#REF!</v>
      </c>
      <c r="G539" s="10"/>
      <c r="H539" s="42">
        <f>H540+H559</f>
        <v>60512120</v>
      </c>
      <c r="I539" s="10"/>
      <c r="J539" s="42">
        <f>J540+J559</f>
        <v>62256120</v>
      </c>
      <c r="K539" s="10"/>
      <c r="L539" s="42">
        <f>L540+L559</f>
        <v>63357625.5</v>
      </c>
      <c r="M539" s="10"/>
      <c r="N539" s="42">
        <f>N540+N559</f>
        <v>75885128.57</v>
      </c>
      <c r="O539" s="10"/>
      <c r="P539" s="42">
        <f>P540+P559</f>
        <v>92139228.57</v>
      </c>
      <c r="R539" s="42">
        <f>R540+R559</f>
        <v>26884602.040000003</v>
      </c>
      <c r="S539" s="118">
        <f t="shared" si="25"/>
        <v>29.178236520154105</v>
      </c>
    </row>
    <row r="540" spans="1:19" ht="20.25" customHeight="1">
      <c r="A540" s="1" t="s">
        <v>151</v>
      </c>
      <c r="B540" s="10" t="s">
        <v>76</v>
      </c>
      <c r="C540" s="10" t="s">
        <v>27</v>
      </c>
      <c r="D540" s="10"/>
      <c r="E540" s="10"/>
      <c r="F540" s="45" t="e">
        <f>F541</f>
        <v>#REF!</v>
      </c>
      <c r="G540" s="10"/>
      <c r="H540" s="45">
        <f>H541</f>
        <v>5456000</v>
      </c>
      <c r="I540" s="10"/>
      <c r="J540" s="45">
        <f>J541</f>
        <v>5456000</v>
      </c>
      <c r="K540" s="10"/>
      <c r="L540" s="45">
        <f>L541</f>
        <v>6427000</v>
      </c>
      <c r="M540" s="10"/>
      <c r="N540" s="45">
        <f>N541</f>
        <v>6689000</v>
      </c>
      <c r="O540" s="10"/>
      <c r="P540" s="45">
        <f>P541</f>
        <v>7021100</v>
      </c>
      <c r="R540" s="45">
        <f>R541</f>
        <v>3284082.2800000003</v>
      </c>
      <c r="S540" s="117">
        <f t="shared" si="25"/>
        <v>46.77446952756691</v>
      </c>
    </row>
    <row r="541" spans="1:19" ht="15.75">
      <c r="A541" s="1" t="s">
        <v>152</v>
      </c>
      <c r="B541" s="10" t="s">
        <v>76</v>
      </c>
      <c r="C541" s="10" t="s">
        <v>28</v>
      </c>
      <c r="D541" s="10"/>
      <c r="E541" s="10"/>
      <c r="F541" s="45" t="e">
        <f>F542+F548+F551</f>
        <v>#REF!</v>
      </c>
      <c r="G541" s="10"/>
      <c r="H541" s="45">
        <f>H542+H548+H551</f>
        <v>5456000</v>
      </c>
      <c r="I541" s="10"/>
      <c r="J541" s="45">
        <f>J542+J548+J551</f>
        <v>5456000</v>
      </c>
      <c r="K541" s="10"/>
      <c r="L541" s="45">
        <f>L542+L548+L551</f>
        <v>6427000</v>
      </c>
      <c r="M541" s="10"/>
      <c r="N541" s="45">
        <f>N542+N548+N551</f>
        <v>6689000</v>
      </c>
      <c r="O541" s="10"/>
      <c r="P541" s="45">
        <f>P542+P548+P551</f>
        <v>7021100</v>
      </c>
      <c r="R541" s="45">
        <f>R542+R548+R551</f>
        <v>3284082.2800000003</v>
      </c>
      <c r="S541" s="117">
        <f t="shared" si="25"/>
        <v>46.77446952756691</v>
      </c>
    </row>
    <row r="542" spans="1:19" ht="31.5">
      <c r="A542" s="1" t="s">
        <v>154</v>
      </c>
      <c r="B542" s="10">
        <v>908</v>
      </c>
      <c r="C542" s="10" t="s">
        <v>28</v>
      </c>
      <c r="D542" s="10">
        <v>4230000</v>
      </c>
      <c r="E542" s="10"/>
      <c r="F542" s="45">
        <f>F543+F544+F545+F546+F547</f>
        <v>0</v>
      </c>
      <c r="G542" s="10"/>
      <c r="H542" s="45">
        <f>H543+H544+H545+H546+H547</f>
        <v>5056000</v>
      </c>
      <c r="I542" s="10"/>
      <c r="J542" s="45">
        <f>J543+J544+J545+J546+J547</f>
        <v>5056000</v>
      </c>
      <c r="K542" s="10"/>
      <c r="L542" s="45">
        <f>L543+L544+L545+L546+L547</f>
        <v>5056000</v>
      </c>
      <c r="M542" s="10"/>
      <c r="N542" s="45">
        <f>N543+N544+N545+N546+N547</f>
        <v>5056000</v>
      </c>
      <c r="O542" s="10"/>
      <c r="P542" s="45">
        <f>P543+P544+P545+P546+P547</f>
        <v>5056000</v>
      </c>
      <c r="R542" s="45">
        <f>R543+R544+R545+R546+R547</f>
        <v>2646599.8000000003</v>
      </c>
      <c r="S542" s="117">
        <f t="shared" si="25"/>
        <v>52.34572389240507</v>
      </c>
    </row>
    <row r="543" spans="1:19" ht="15.75">
      <c r="A543" s="1" t="s">
        <v>318</v>
      </c>
      <c r="B543" s="10">
        <v>908</v>
      </c>
      <c r="C543" s="10" t="s">
        <v>28</v>
      </c>
      <c r="D543" s="10">
        <v>4230000</v>
      </c>
      <c r="E543" s="10" t="s">
        <v>313</v>
      </c>
      <c r="F543" s="45">
        <v>0</v>
      </c>
      <c r="G543" s="10" t="s">
        <v>483</v>
      </c>
      <c r="H543" s="45">
        <f>F543+G543</f>
        <v>4937942</v>
      </c>
      <c r="I543" s="10" t="s">
        <v>376</v>
      </c>
      <c r="J543" s="45">
        <f>H543+I543</f>
        <v>4937942</v>
      </c>
      <c r="K543" s="10"/>
      <c r="L543" s="45">
        <f>J543+K543</f>
        <v>4937942</v>
      </c>
      <c r="M543" s="10"/>
      <c r="N543" s="45">
        <f>L543+M543</f>
        <v>4937942</v>
      </c>
      <c r="O543" s="10"/>
      <c r="P543" s="45">
        <f>N543+O543</f>
        <v>4937942</v>
      </c>
      <c r="R543" s="45">
        <v>2612015.97</v>
      </c>
      <c r="S543" s="117">
        <f t="shared" si="25"/>
        <v>52.89685399301977</v>
      </c>
    </row>
    <row r="544" spans="1:19" ht="31.5">
      <c r="A544" s="1" t="s">
        <v>319</v>
      </c>
      <c r="B544" s="10" t="s">
        <v>76</v>
      </c>
      <c r="C544" s="10" t="s">
        <v>28</v>
      </c>
      <c r="D544" s="10" t="s">
        <v>113</v>
      </c>
      <c r="E544" s="10" t="s">
        <v>314</v>
      </c>
      <c r="F544" s="45">
        <v>0</v>
      </c>
      <c r="G544" s="10" t="s">
        <v>484</v>
      </c>
      <c r="H544" s="45">
        <f>F544+G544</f>
        <v>29332</v>
      </c>
      <c r="I544" s="10" t="s">
        <v>376</v>
      </c>
      <c r="J544" s="45">
        <f>H544+I544</f>
        <v>29332</v>
      </c>
      <c r="K544" s="10"/>
      <c r="L544" s="45">
        <f>J544+K544</f>
        <v>29332</v>
      </c>
      <c r="M544" s="10"/>
      <c r="N544" s="45">
        <f>L544+M544</f>
        <v>29332</v>
      </c>
      <c r="O544" s="10"/>
      <c r="P544" s="45">
        <f>N544+O544</f>
        <v>29332</v>
      </c>
      <c r="R544" s="45">
        <v>12026</v>
      </c>
      <c r="S544" s="117">
        <f t="shared" si="25"/>
        <v>40.99959089049502</v>
      </c>
    </row>
    <row r="545" spans="1:19" ht="47.25">
      <c r="A545" s="1" t="s">
        <v>320</v>
      </c>
      <c r="B545" s="10">
        <v>908</v>
      </c>
      <c r="C545" s="10" t="s">
        <v>28</v>
      </c>
      <c r="D545" s="10">
        <v>4230000</v>
      </c>
      <c r="E545" s="10" t="s">
        <v>315</v>
      </c>
      <c r="F545" s="45">
        <v>0</v>
      </c>
      <c r="G545" s="10" t="s">
        <v>485</v>
      </c>
      <c r="H545" s="45">
        <f>F545+G545</f>
        <v>35369</v>
      </c>
      <c r="I545" s="10" t="s">
        <v>376</v>
      </c>
      <c r="J545" s="45">
        <f>H545+I545</f>
        <v>35369</v>
      </c>
      <c r="K545" s="10"/>
      <c r="L545" s="45">
        <f>J545+K545</f>
        <v>35369</v>
      </c>
      <c r="M545" s="10"/>
      <c r="N545" s="45">
        <f>L545+M545</f>
        <v>35369</v>
      </c>
      <c r="O545" s="10"/>
      <c r="P545" s="45">
        <f>N545+O545</f>
        <v>35369</v>
      </c>
      <c r="R545" s="45">
        <v>17155.73</v>
      </c>
      <c r="S545" s="117">
        <f t="shared" si="25"/>
        <v>48.50499024569538</v>
      </c>
    </row>
    <row r="546" spans="1:19" ht="31.5">
      <c r="A546" s="1" t="s">
        <v>365</v>
      </c>
      <c r="B546" s="10">
        <v>908</v>
      </c>
      <c r="C546" s="10" t="s">
        <v>28</v>
      </c>
      <c r="D546" s="10">
        <v>4230000</v>
      </c>
      <c r="E546" s="10" t="s">
        <v>316</v>
      </c>
      <c r="F546" s="45">
        <v>0</v>
      </c>
      <c r="G546" s="10" t="s">
        <v>486</v>
      </c>
      <c r="H546" s="45">
        <f>F546+G546</f>
        <v>53357</v>
      </c>
      <c r="I546" s="10" t="s">
        <v>376</v>
      </c>
      <c r="J546" s="45">
        <f>H546+I546</f>
        <v>53357</v>
      </c>
      <c r="K546" s="10"/>
      <c r="L546" s="45">
        <f>J546+K546</f>
        <v>53357</v>
      </c>
      <c r="M546" s="10"/>
      <c r="N546" s="45">
        <f>L546+M546</f>
        <v>53357</v>
      </c>
      <c r="O546" s="10"/>
      <c r="P546" s="45">
        <f>N546+O546</f>
        <v>53357</v>
      </c>
      <c r="R546" s="45">
        <v>5402.1</v>
      </c>
      <c r="S546" s="117">
        <f t="shared" si="25"/>
        <v>10.124444777629927</v>
      </c>
    </row>
    <row r="547" spans="1:19" ht="31.5">
      <c r="A547" s="1" t="s">
        <v>343</v>
      </c>
      <c r="B547" s="10" t="s">
        <v>76</v>
      </c>
      <c r="C547" s="10" t="s">
        <v>28</v>
      </c>
      <c r="D547" s="10" t="s">
        <v>113</v>
      </c>
      <c r="E547" s="10" t="s">
        <v>317</v>
      </c>
      <c r="F547" s="45">
        <v>0</v>
      </c>
      <c r="G547" s="10"/>
      <c r="H547" s="45">
        <f>F547+G547</f>
        <v>0</v>
      </c>
      <c r="I547" s="10"/>
      <c r="J547" s="45">
        <f>H547+I547</f>
        <v>0</v>
      </c>
      <c r="K547" s="10"/>
      <c r="L547" s="45">
        <f>J547+K547</f>
        <v>0</v>
      </c>
      <c r="M547" s="10"/>
      <c r="N547" s="45">
        <f>L547+M547</f>
        <v>0</v>
      </c>
      <c r="O547" s="10"/>
      <c r="P547" s="45">
        <f>N547+O547</f>
        <v>0</v>
      </c>
      <c r="R547" s="45">
        <f>P547+Q547</f>
        <v>0</v>
      </c>
      <c r="S547" s="117">
        <v>0</v>
      </c>
    </row>
    <row r="548" spans="1:19" ht="31.5">
      <c r="A548" s="1" t="s">
        <v>154</v>
      </c>
      <c r="B548" s="10">
        <v>908</v>
      </c>
      <c r="C548" s="10" t="s">
        <v>28</v>
      </c>
      <c r="D548" s="10" t="s">
        <v>250</v>
      </c>
      <c r="E548" s="10"/>
      <c r="F548" s="45">
        <v>0</v>
      </c>
      <c r="G548" s="10"/>
      <c r="H548" s="45">
        <f>H549+H550</f>
        <v>400000</v>
      </c>
      <c r="I548" s="10"/>
      <c r="J548" s="45">
        <f>J549+J550</f>
        <v>400000</v>
      </c>
      <c r="K548" s="10"/>
      <c r="L548" s="45">
        <f>L549+L550</f>
        <v>400000</v>
      </c>
      <c r="M548" s="10"/>
      <c r="N548" s="45">
        <f>N549+N550</f>
        <v>400000</v>
      </c>
      <c r="O548" s="10"/>
      <c r="P548" s="45">
        <f>P549+P550</f>
        <v>400000</v>
      </c>
      <c r="R548" s="45">
        <f>R549+R550</f>
        <v>220436.48</v>
      </c>
      <c r="S548" s="117">
        <f t="shared" si="25"/>
        <v>55.10912</v>
      </c>
    </row>
    <row r="549" spans="1:19" ht="15.75">
      <c r="A549" s="1" t="s">
        <v>318</v>
      </c>
      <c r="B549" s="10">
        <v>908</v>
      </c>
      <c r="C549" s="10" t="s">
        <v>28</v>
      </c>
      <c r="D549" s="10" t="s">
        <v>250</v>
      </c>
      <c r="E549" s="10" t="s">
        <v>313</v>
      </c>
      <c r="F549" s="45">
        <v>0</v>
      </c>
      <c r="G549" s="10"/>
      <c r="H549" s="45">
        <f>F549+G549</f>
        <v>0</v>
      </c>
      <c r="I549" s="10"/>
      <c r="J549" s="45">
        <f>H549+I549</f>
        <v>0</v>
      </c>
      <c r="K549" s="10"/>
      <c r="L549" s="45">
        <f>J549+K549</f>
        <v>0</v>
      </c>
      <c r="M549" s="10"/>
      <c r="N549" s="45">
        <f>L549+M549</f>
        <v>0</v>
      </c>
      <c r="O549" s="10"/>
      <c r="P549" s="45">
        <f>N549+O549</f>
        <v>0</v>
      </c>
      <c r="R549" s="45">
        <f>P549+Q549</f>
        <v>0</v>
      </c>
      <c r="S549" s="117">
        <v>0</v>
      </c>
    </row>
    <row r="550" spans="1:19" ht="31.5">
      <c r="A550" s="1" t="s">
        <v>365</v>
      </c>
      <c r="B550" s="10" t="s">
        <v>76</v>
      </c>
      <c r="C550" s="10" t="s">
        <v>28</v>
      </c>
      <c r="D550" s="10" t="s">
        <v>250</v>
      </c>
      <c r="E550" s="10" t="s">
        <v>316</v>
      </c>
      <c r="F550" s="45">
        <v>0</v>
      </c>
      <c r="G550" s="10" t="s">
        <v>435</v>
      </c>
      <c r="H550" s="45">
        <f>F550+G550</f>
        <v>400000</v>
      </c>
      <c r="I550" s="10" t="s">
        <v>376</v>
      </c>
      <c r="J550" s="45">
        <f>H550+I550</f>
        <v>400000</v>
      </c>
      <c r="K550" s="10"/>
      <c r="L550" s="45">
        <f>J550+K550</f>
        <v>400000</v>
      </c>
      <c r="M550" s="10"/>
      <c r="N550" s="45">
        <f>L550+M550</f>
        <v>400000</v>
      </c>
      <c r="O550" s="10"/>
      <c r="P550" s="45">
        <f>N550+O550</f>
        <v>400000</v>
      </c>
      <c r="R550" s="45">
        <v>220436.48</v>
      </c>
      <c r="S550" s="117">
        <f t="shared" si="25"/>
        <v>55.10912</v>
      </c>
    </row>
    <row r="551" spans="1:19" ht="20.25" customHeight="1">
      <c r="A551" s="1" t="s">
        <v>155</v>
      </c>
      <c r="B551" s="10" t="s">
        <v>76</v>
      </c>
      <c r="C551" s="10" t="s">
        <v>28</v>
      </c>
      <c r="D551" s="10" t="s">
        <v>35</v>
      </c>
      <c r="E551" s="10"/>
      <c r="F551" s="45" t="e">
        <f>F556+#REF!</f>
        <v>#REF!</v>
      </c>
      <c r="G551" s="10"/>
      <c r="H551" s="45">
        <f>H556</f>
        <v>0</v>
      </c>
      <c r="I551" s="10"/>
      <c r="J551" s="45">
        <f>J556</f>
        <v>0</v>
      </c>
      <c r="K551" s="10"/>
      <c r="L551" s="45">
        <f>L556</f>
        <v>971000</v>
      </c>
      <c r="M551" s="10"/>
      <c r="N551" s="45">
        <f>N556+N554</f>
        <v>1233000</v>
      </c>
      <c r="O551" s="10"/>
      <c r="P551" s="45">
        <f>P552+P556+P554</f>
        <v>1565100</v>
      </c>
      <c r="R551" s="45">
        <f>R552+R556+R554</f>
        <v>417046</v>
      </c>
      <c r="S551" s="117">
        <f t="shared" si="25"/>
        <v>26.646604050859366</v>
      </c>
    </row>
    <row r="552" spans="1:19" ht="94.5">
      <c r="A552" s="32" t="s">
        <v>756</v>
      </c>
      <c r="B552" s="10" t="s">
        <v>76</v>
      </c>
      <c r="C552" s="8" t="s">
        <v>28</v>
      </c>
      <c r="D552" s="8" t="s">
        <v>758</v>
      </c>
      <c r="E552" s="8"/>
      <c r="F552" s="106"/>
      <c r="G552" s="107"/>
      <c r="H552" s="106"/>
      <c r="I552" s="107"/>
      <c r="J552" s="106"/>
      <c r="K552" s="108"/>
      <c r="L552" s="106"/>
      <c r="M552" s="108"/>
      <c r="N552" s="106"/>
      <c r="O552" s="108"/>
      <c r="P552" s="106">
        <f>P553</f>
        <v>10100</v>
      </c>
      <c r="R552" s="106">
        <f>R553</f>
        <v>0</v>
      </c>
      <c r="S552" s="117">
        <f t="shared" si="25"/>
        <v>0</v>
      </c>
    </row>
    <row r="553" spans="1:19" ht="20.25" customHeight="1">
      <c r="A553" s="67" t="s">
        <v>318</v>
      </c>
      <c r="B553" s="10" t="s">
        <v>76</v>
      </c>
      <c r="C553" s="8" t="s">
        <v>28</v>
      </c>
      <c r="D553" s="8" t="s">
        <v>758</v>
      </c>
      <c r="E553" s="8" t="s">
        <v>313</v>
      </c>
      <c r="F553" s="106"/>
      <c r="G553" s="107"/>
      <c r="H553" s="106"/>
      <c r="I553" s="107"/>
      <c r="J553" s="106"/>
      <c r="K553" s="108"/>
      <c r="L553" s="106"/>
      <c r="M553" s="108"/>
      <c r="N553" s="106"/>
      <c r="O553" s="108">
        <v>10100</v>
      </c>
      <c r="P553" s="106">
        <f>N553+O553</f>
        <v>10100</v>
      </c>
      <c r="R553" s="106">
        <v>0</v>
      </c>
      <c r="S553" s="117">
        <f t="shared" si="25"/>
        <v>0</v>
      </c>
    </row>
    <row r="554" spans="1:19" ht="79.5" customHeight="1">
      <c r="A554" s="97" t="s">
        <v>670</v>
      </c>
      <c r="B554" s="10" t="s">
        <v>76</v>
      </c>
      <c r="C554" s="10" t="s">
        <v>28</v>
      </c>
      <c r="D554" s="10" t="s">
        <v>664</v>
      </c>
      <c r="E554" s="10"/>
      <c r="F554" s="71"/>
      <c r="G554" s="10"/>
      <c r="H554" s="71"/>
      <c r="I554" s="10"/>
      <c r="J554" s="71"/>
      <c r="K554" s="10"/>
      <c r="L554" s="71"/>
      <c r="M554" s="10"/>
      <c r="N554" s="71">
        <f>N555</f>
        <v>262000</v>
      </c>
      <c r="O554" s="10"/>
      <c r="P554" s="71">
        <f>P555</f>
        <v>584000</v>
      </c>
      <c r="R554" s="71">
        <f>R555</f>
        <v>0</v>
      </c>
      <c r="S554" s="117">
        <f t="shared" si="25"/>
        <v>0</v>
      </c>
    </row>
    <row r="555" spans="1:19" ht="15.75">
      <c r="A555" s="1" t="s">
        <v>318</v>
      </c>
      <c r="B555" s="10" t="s">
        <v>76</v>
      </c>
      <c r="C555" s="10" t="s">
        <v>28</v>
      </c>
      <c r="D555" s="10" t="s">
        <v>664</v>
      </c>
      <c r="E555" s="10" t="s">
        <v>313</v>
      </c>
      <c r="F555" s="45"/>
      <c r="G555" s="10"/>
      <c r="H555" s="45"/>
      <c r="I555" s="10"/>
      <c r="J555" s="45"/>
      <c r="K555" s="10"/>
      <c r="L555" s="45"/>
      <c r="M555" s="10" t="s">
        <v>665</v>
      </c>
      <c r="N555" s="45">
        <f>L555+M555</f>
        <v>262000</v>
      </c>
      <c r="O555" s="10" t="s">
        <v>761</v>
      </c>
      <c r="P555" s="45">
        <f>N555+O555</f>
        <v>584000</v>
      </c>
      <c r="R555" s="45">
        <v>0</v>
      </c>
      <c r="S555" s="117">
        <f t="shared" si="25"/>
        <v>0</v>
      </c>
    </row>
    <row r="556" spans="1:19" ht="19.5" customHeight="1">
      <c r="A556" s="1" t="s">
        <v>281</v>
      </c>
      <c r="B556" s="10" t="s">
        <v>76</v>
      </c>
      <c r="C556" s="10" t="s">
        <v>28</v>
      </c>
      <c r="D556" s="10" t="s">
        <v>355</v>
      </c>
      <c r="E556" s="10"/>
      <c r="F556" s="45">
        <f>F557+F558</f>
        <v>0</v>
      </c>
      <c r="G556" s="10"/>
      <c r="H556" s="45">
        <f>H557+H558</f>
        <v>0</v>
      </c>
      <c r="I556" s="10"/>
      <c r="J556" s="45">
        <f>J557+J558</f>
        <v>0</v>
      </c>
      <c r="K556" s="10"/>
      <c r="L556" s="45">
        <f>L557+L558</f>
        <v>971000</v>
      </c>
      <c r="M556" s="10"/>
      <c r="N556" s="45">
        <f>N557+N558</f>
        <v>971000</v>
      </c>
      <c r="O556" s="10"/>
      <c r="P556" s="45">
        <f>P557+P558</f>
        <v>971000</v>
      </c>
      <c r="R556" s="45">
        <f>R557+R558</f>
        <v>417046</v>
      </c>
      <c r="S556" s="117">
        <f t="shared" si="25"/>
        <v>42.950154479917614</v>
      </c>
    </row>
    <row r="557" spans="1:19" ht="17.25" customHeight="1">
      <c r="A557" s="1" t="s">
        <v>318</v>
      </c>
      <c r="B557" s="10" t="s">
        <v>76</v>
      </c>
      <c r="C557" s="10" t="s">
        <v>28</v>
      </c>
      <c r="D557" s="10" t="s">
        <v>355</v>
      </c>
      <c r="E557" s="10" t="s">
        <v>313</v>
      </c>
      <c r="F557" s="45">
        <v>0</v>
      </c>
      <c r="G557" s="10" t="s">
        <v>376</v>
      </c>
      <c r="H557" s="45">
        <f>F557+G557</f>
        <v>0</v>
      </c>
      <c r="I557" s="10" t="s">
        <v>376</v>
      </c>
      <c r="J557" s="45">
        <f>H557+I557</f>
        <v>0</v>
      </c>
      <c r="K557" s="10" t="s">
        <v>613</v>
      </c>
      <c r="L557" s="45">
        <f>J557+K557</f>
        <v>629918</v>
      </c>
      <c r="M557" s="10" t="s">
        <v>376</v>
      </c>
      <c r="N557" s="45">
        <f>L557+M557</f>
        <v>629918</v>
      </c>
      <c r="O557" s="10"/>
      <c r="P557" s="45">
        <f>N557+O557</f>
        <v>629918</v>
      </c>
      <c r="R557" s="45">
        <v>402206</v>
      </c>
      <c r="S557" s="117">
        <f t="shared" si="25"/>
        <v>63.850532926507896</v>
      </c>
    </row>
    <row r="558" spans="1:19" ht="33.75" customHeight="1">
      <c r="A558" s="1" t="s">
        <v>365</v>
      </c>
      <c r="B558" s="10" t="s">
        <v>76</v>
      </c>
      <c r="C558" s="10" t="s">
        <v>28</v>
      </c>
      <c r="D558" s="10" t="s">
        <v>355</v>
      </c>
      <c r="E558" s="10" t="s">
        <v>316</v>
      </c>
      <c r="F558" s="45">
        <v>0</v>
      </c>
      <c r="G558" s="10" t="s">
        <v>376</v>
      </c>
      <c r="H558" s="45">
        <f>F558+G558</f>
        <v>0</v>
      </c>
      <c r="I558" s="10" t="s">
        <v>376</v>
      </c>
      <c r="J558" s="45">
        <f>H558+I558</f>
        <v>0</v>
      </c>
      <c r="K558" s="10" t="s">
        <v>614</v>
      </c>
      <c r="L558" s="45">
        <f>J558+K558</f>
        <v>341082</v>
      </c>
      <c r="M558" s="10" t="s">
        <v>376</v>
      </c>
      <c r="N558" s="45">
        <f>L558+M558</f>
        <v>341082</v>
      </c>
      <c r="O558" s="10"/>
      <c r="P558" s="45">
        <f>N558+O558</f>
        <v>341082</v>
      </c>
      <c r="R558" s="45">
        <v>14840</v>
      </c>
      <c r="S558" s="117">
        <f t="shared" si="25"/>
        <v>4.350859910520051</v>
      </c>
    </row>
    <row r="559" spans="1:19" ht="15.75">
      <c r="A559" s="1" t="s">
        <v>219</v>
      </c>
      <c r="B559" s="10">
        <v>908</v>
      </c>
      <c r="C559" s="10" t="s">
        <v>31</v>
      </c>
      <c r="D559" s="10"/>
      <c r="E559" s="10"/>
      <c r="F559" s="45" t="e">
        <f>F560+F599</f>
        <v>#REF!</v>
      </c>
      <c r="G559" s="10"/>
      <c r="H559" s="45">
        <f>H560+H599</f>
        <v>55056120</v>
      </c>
      <c r="I559" s="10"/>
      <c r="J559" s="45">
        <f>J560+J599</f>
        <v>56800120</v>
      </c>
      <c r="K559" s="10"/>
      <c r="L559" s="45">
        <f>L560+L599</f>
        <v>56930625.5</v>
      </c>
      <c r="M559" s="10"/>
      <c r="N559" s="45">
        <f>N560+N599</f>
        <v>69196128.57</v>
      </c>
      <c r="O559" s="10"/>
      <c r="P559" s="45">
        <f>P560+P599</f>
        <v>85118128.57</v>
      </c>
      <c r="R559" s="45">
        <f>R560+R599</f>
        <v>23600519.76</v>
      </c>
      <c r="S559" s="117">
        <f t="shared" si="25"/>
        <v>27.726784125183457</v>
      </c>
    </row>
    <row r="560" spans="1:19" ht="15.75">
      <c r="A560" s="1" t="s">
        <v>161</v>
      </c>
      <c r="B560" s="10">
        <v>908</v>
      </c>
      <c r="C560" s="10" t="s">
        <v>32</v>
      </c>
      <c r="D560" s="10"/>
      <c r="E560" s="10"/>
      <c r="F560" s="45" t="e">
        <f>F561+F577+F583+F595+#REF!+F587+F589+F591+F593</f>
        <v>#REF!</v>
      </c>
      <c r="G560" s="10"/>
      <c r="H560" s="45">
        <f>H561+H577+H583+H595+H587+H589+H591+H593</f>
        <v>53108220</v>
      </c>
      <c r="I560" s="10"/>
      <c r="J560" s="45">
        <f>J561+J577+J583+J595+J587+J589+J591+J593</f>
        <v>53035800</v>
      </c>
      <c r="K560" s="10"/>
      <c r="L560" s="45">
        <f>L561+L577+L583+L595+L587+L589+L591+L593</f>
        <v>53165800</v>
      </c>
      <c r="M560" s="10"/>
      <c r="N560" s="45">
        <f>N561+N577+N583+N595+N587+N589+N591+N593+N597</f>
        <v>57716800</v>
      </c>
      <c r="O560" s="10"/>
      <c r="P560" s="45">
        <f>P561+P577+P583+P595+P587+P589+P591+P593+P597</f>
        <v>73696800</v>
      </c>
      <c r="R560" s="45">
        <f>R561+R577+R583+R595+R587+R589+R591+R593+R597</f>
        <v>23119744.75</v>
      </c>
      <c r="S560" s="117">
        <f t="shared" si="25"/>
        <v>31.371436412435816</v>
      </c>
    </row>
    <row r="561" spans="1:19" ht="31.5">
      <c r="A561" s="1" t="s">
        <v>220</v>
      </c>
      <c r="B561" s="10">
        <v>908</v>
      </c>
      <c r="C561" s="10" t="s">
        <v>32</v>
      </c>
      <c r="D561" s="10">
        <v>4400000</v>
      </c>
      <c r="E561" s="10"/>
      <c r="F561" s="45">
        <f>F562+F564+F570</f>
        <v>0</v>
      </c>
      <c r="G561" s="10"/>
      <c r="H561" s="45">
        <f>H562+H564+H570</f>
        <v>40540619</v>
      </c>
      <c r="I561" s="10"/>
      <c r="J561" s="45">
        <f>J562+J564+J570</f>
        <v>40510619</v>
      </c>
      <c r="K561" s="10"/>
      <c r="L561" s="45">
        <f>L562+L564+L570</f>
        <v>40640619</v>
      </c>
      <c r="M561" s="10"/>
      <c r="N561" s="45">
        <f>N562+N564+N570</f>
        <v>40643619</v>
      </c>
      <c r="O561" s="10"/>
      <c r="P561" s="45">
        <f>P562+P564+P570</f>
        <v>40521619</v>
      </c>
      <c r="R561" s="45">
        <f>R562+R564+R570</f>
        <v>17715720.630000003</v>
      </c>
      <c r="S561" s="117">
        <f t="shared" si="25"/>
        <v>43.71918266641815</v>
      </c>
    </row>
    <row r="562" spans="1:19" ht="17.25" customHeight="1">
      <c r="A562" s="1" t="s">
        <v>403</v>
      </c>
      <c r="B562" s="10" t="s">
        <v>76</v>
      </c>
      <c r="C562" s="10" t="s">
        <v>32</v>
      </c>
      <c r="D562" s="10" t="s">
        <v>402</v>
      </c>
      <c r="E562" s="10"/>
      <c r="F562" s="45">
        <f>F563</f>
        <v>0</v>
      </c>
      <c r="G562" s="10"/>
      <c r="H562" s="45">
        <f>H563</f>
        <v>0</v>
      </c>
      <c r="I562" s="10"/>
      <c r="J562" s="45">
        <f>J563</f>
        <v>0</v>
      </c>
      <c r="K562" s="10"/>
      <c r="L562" s="45">
        <f>L563</f>
        <v>130000</v>
      </c>
      <c r="M562" s="10"/>
      <c r="N562" s="45">
        <f>N563</f>
        <v>133000</v>
      </c>
      <c r="O562" s="10"/>
      <c r="P562" s="45">
        <f>P563</f>
        <v>133000</v>
      </c>
      <c r="R562" s="45">
        <f>R563</f>
        <v>0</v>
      </c>
      <c r="S562" s="117">
        <f t="shared" si="25"/>
        <v>0</v>
      </c>
    </row>
    <row r="563" spans="1:19" ht="34.5" customHeight="1">
      <c r="A563" s="1" t="s">
        <v>365</v>
      </c>
      <c r="B563" s="10" t="s">
        <v>76</v>
      </c>
      <c r="C563" s="10" t="s">
        <v>32</v>
      </c>
      <c r="D563" s="10" t="s">
        <v>402</v>
      </c>
      <c r="E563" s="10" t="s">
        <v>316</v>
      </c>
      <c r="F563" s="45">
        <v>0</v>
      </c>
      <c r="G563" s="10" t="s">
        <v>376</v>
      </c>
      <c r="H563" s="45">
        <f>F563+G563</f>
        <v>0</v>
      </c>
      <c r="I563" s="10" t="s">
        <v>376</v>
      </c>
      <c r="J563" s="45">
        <f>H563+I563</f>
        <v>0</v>
      </c>
      <c r="K563" s="10" t="s">
        <v>623</v>
      </c>
      <c r="L563" s="45">
        <f>J563+K563</f>
        <v>130000</v>
      </c>
      <c r="M563" s="10" t="s">
        <v>678</v>
      </c>
      <c r="N563" s="45">
        <f>L563+M563</f>
        <v>133000</v>
      </c>
      <c r="O563" s="10"/>
      <c r="P563" s="45">
        <f>N563+O563</f>
        <v>133000</v>
      </c>
      <c r="R563" s="45">
        <v>0</v>
      </c>
      <c r="S563" s="117">
        <f t="shared" si="25"/>
        <v>0</v>
      </c>
    </row>
    <row r="564" spans="1:19" ht="31.5">
      <c r="A564" s="1" t="s">
        <v>153</v>
      </c>
      <c r="B564" s="10">
        <v>908</v>
      </c>
      <c r="C564" s="10" t="s">
        <v>32</v>
      </c>
      <c r="D564" s="10" t="s">
        <v>110</v>
      </c>
      <c r="E564" s="10"/>
      <c r="F564" s="46">
        <f>F565+F566+F567+F568+F569</f>
        <v>0</v>
      </c>
      <c r="G564" s="10"/>
      <c r="H564" s="46">
        <f>H565+H566+H567+H568+H569</f>
        <v>39740619</v>
      </c>
      <c r="I564" s="10"/>
      <c r="J564" s="46">
        <f>J565+J566+J567+J568+J569</f>
        <v>39710619</v>
      </c>
      <c r="K564" s="10"/>
      <c r="L564" s="46">
        <f>L565+L566+L567+L568+L569</f>
        <v>39710619</v>
      </c>
      <c r="M564" s="10"/>
      <c r="N564" s="46">
        <f>N565+N566+N567+N568+N569</f>
        <v>39710619</v>
      </c>
      <c r="O564" s="10"/>
      <c r="P564" s="46">
        <f>P565+P566+P567+P568+P569</f>
        <v>39588619</v>
      </c>
      <c r="R564" s="46">
        <f>R565+R566+R567+R568+R569</f>
        <v>17454536.1</v>
      </c>
      <c r="S564" s="117">
        <f t="shared" si="25"/>
        <v>44.08978272265573</v>
      </c>
    </row>
    <row r="565" spans="1:19" ht="15.75">
      <c r="A565" s="1" t="s">
        <v>318</v>
      </c>
      <c r="B565" s="10" t="s">
        <v>76</v>
      </c>
      <c r="C565" s="10" t="s">
        <v>32</v>
      </c>
      <c r="D565" s="10" t="s">
        <v>110</v>
      </c>
      <c r="E565" s="10" t="s">
        <v>313</v>
      </c>
      <c r="F565" s="46">
        <v>0</v>
      </c>
      <c r="G565" s="68">
        <v>24738305</v>
      </c>
      <c r="H565" s="46">
        <f>F565+G565</f>
        <v>24738305</v>
      </c>
      <c r="I565" s="68">
        <v>0</v>
      </c>
      <c r="J565" s="46">
        <f>H565+I565</f>
        <v>24738305</v>
      </c>
      <c r="K565" s="68"/>
      <c r="L565" s="46">
        <f>J565+K565</f>
        <v>24738305</v>
      </c>
      <c r="M565" s="68"/>
      <c r="N565" s="46">
        <f>L565+M565</f>
        <v>24738305</v>
      </c>
      <c r="O565" s="68">
        <v>-106030.9</v>
      </c>
      <c r="P565" s="46">
        <f>N565+O565</f>
        <v>24632274.1</v>
      </c>
      <c r="R565" s="46">
        <v>10207808.56</v>
      </c>
      <c r="S565" s="117">
        <f t="shared" si="25"/>
        <v>41.440788286778606</v>
      </c>
    </row>
    <row r="566" spans="1:19" ht="33" customHeight="1">
      <c r="A566" s="1" t="s">
        <v>319</v>
      </c>
      <c r="B566" s="10" t="s">
        <v>76</v>
      </c>
      <c r="C566" s="10" t="s">
        <v>32</v>
      </c>
      <c r="D566" s="10" t="s">
        <v>110</v>
      </c>
      <c r="E566" s="10" t="s">
        <v>314</v>
      </c>
      <c r="F566" s="46">
        <v>0</v>
      </c>
      <c r="G566" s="10" t="s">
        <v>487</v>
      </c>
      <c r="H566" s="46">
        <f>F566+G566</f>
        <v>6180</v>
      </c>
      <c r="I566" s="10" t="s">
        <v>376</v>
      </c>
      <c r="J566" s="46">
        <f>H566+I566</f>
        <v>6180</v>
      </c>
      <c r="K566" s="10"/>
      <c r="L566" s="46">
        <f>J566+K566</f>
        <v>6180</v>
      </c>
      <c r="M566" s="10"/>
      <c r="N566" s="46">
        <f>L566+M566</f>
        <v>6180</v>
      </c>
      <c r="O566" s="10"/>
      <c r="P566" s="46">
        <f>N566+O566</f>
        <v>6180</v>
      </c>
      <c r="R566" s="46">
        <v>4774</v>
      </c>
      <c r="S566" s="117">
        <f t="shared" si="25"/>
        <v>77.24919093851132</v>
      </c>
    </row>
    <row r="567" spans="1:19" ht="33" customHeight="1">
      <c r="A567" s="1" t="s">
        <v>320</v>
      </c>
      <c r="B567" s="10" t="s">
        <v>76</v>
      </c>
      <c r="C567" s="10" t="s">
        <v>32</v>
      </c>
      <c r="D567" s="10" t="s">
        <v>110</v>
      </c>
      <c r="E567" s="10" t="s">
        <v>315</v>
      </c>
      <c r="F567" s="46">
        <v>0</v>
      </c>
      <c r="G567" s="10" t="s">
        <v>488</v>
      </c>
      <c r="H567" s="46">
        <f>F567+G567</f>
        <v>257583</v>
      </c>
      <c r="I567" s="10" t="s">
        <v>376</v>
      </c>
      <c r="J567" s="46">
        <f>H567+I567</f>
        <v>257583</v>
      </c>
      <c r="K567" s="10"/>
      <c r="L567" s="46">
        <f>J567+K567</f>
        <v>257583</v>
      </c>
      <c r="M567" s="10"/>
      <c r="N567" s="46">
        <f>L567+M567</f>
        <v>257583</v>
      </c>
      <c r="O567" s="10" t="s">
        <v>729</v>
      </c>
      <c r="P567" s="46">
        <f>N567+O567</f>
        <v>241613.9</v>
      </c>
      <c r="R567" s="46">
        <v>96463.43</v>
      </c>
      <c r="S567" s="117">
        <f t="shared" si="25"/>
        <v>39.92461940310553</v>
      </c>
    </row>
    <row r="568" spans="1:19" ht="33" customHeight="1">
      <c r="A568" s="1" t="s">
        <v>365</v>
      </c>
      <c r="B568" s="10" t="s">
        <v>76</v>
      </c>
      <c r="C568" s="10" t="s">
        <v>32</v>
      </c>
      <c r="D568" s="10" t="s">
        <v>110</v>
      </c>
      <c r="E568" s="10" t="s">
        <v>316</v>
      </c>
      <c r="F568" s="46">
        <v>0</v>
      </c>
      <c r="G568" s="68">
        <v>14588551</v>
      </c>
      <c r="H568" s="46">
        <f>F568+G568</f>
        <v>14588551</v>
      </c>
      <c r="I568" s="68">
        <v>-30000</v>
      </c>
      <c r="J568" s="46">
        <f>H568+I568</f>
        <v>14558551</v>
      </c>
      <c r="K568" s="68"/>
      <c r="L568" s="46">
        <f>J568+K568</f>
        <v>14558551</v>
      </c>
      <c r="M568" s="68"/>
      <c r="N568" s="46">
        <f>L568+M568</f>
        <v>14558551</v>
      </c>
      <c r="O568" s="68"/>
      <c r="P568" s="46">
        <f>N568+O568</f>
        <v>14558551</v>
      </c>
      <c r="R568" s="46">
        <v>7065490.11</v>
      </c>
      <c r="S568" s="117">
        <f t="shared" si="25"/>
        <v>48.53154761074781</v>
      </c>
    </row>
    <row r="569" spans="1:19" ht="15.75">
      <c r="A569" s="1" t="s">
        <v>327</v>
      </c>
      <c r="B569" s="10" t="s">
        <v>76</v>
      </c>
      <c r="C569" s="10" t="s">
        <v>32</v>
      </c>
      <c r="D569" s="10" t="s">
        <v>110</v>
      </c>
      <c r="E569" s="10" t="s">
        <v>326</v>
      </c>
      <c r="F569" s="46">
        <v>0</v>
      </c>
      <c r="G569" s="10" t="s">
        <v>489</v>
      </c>
      <c r="H569" s="46">
        <f>F569+G569</f>
        <v>150000</v>
      </c>
      <c r="I569" s="10" t="s">
        <v>376</v>
      </c>
      <c r="J569" s="46">
        <f>H569+I569</f>
        <v>150000</v>
      </c>
      <c r="K569" s="10"/>
      <c r="L569" s="46">
        <f>J569+K569</f>
        <v>150000</v>
      </c>
      <c r="M569" s="10"/>
      <c r="N569" s="46">
        <f>L569+M569</f>
        <v>150000</v>
      </c>
      <c r="O569" s="10"/>
      <c r="P569" s="46">
        <f>N569+O569</f>
        <v>150000</v>
      </c>
      <c r="R569" s="46">
        <v>80000</v>
      </c>
      <c r="S569" s="117">
        <f t="shared" si="25"/>
        <v>53.333333333333336</v>
      </c>
    </row>
    <row r="570" spans="1:19" ht="33" customHeight="1">
      <c r="A570" s="1" t="s">
        <v>153</v>
      </c>
      <c r="B570" s="10">
        <v>908</v>
      </c>
      <c r="C570" s="10" t="s">
        <v>32</v>
      </c>
      <c r="D570" s="10" t="s">
        <v>251</v>
      </c>
      <c r="E570" s="10"/>
      <c r="F570" s="46">
        <f>F571+F573+F574+F575+F572</f>
        <v>0</v>
      </c>
      <c r="G570" s="10"/>
      <c r="H570" s="46">
        <f>H571+H573+H574+H575+H572</f>
        <v>800000</v>
      </c>
      <c r="I570" s="10" t="s">
        <v>376</v>
      </c>
      <c r="J570" s="46">
        <f>J571+J573+J574+J575+J572</f>
        <v>800000</v>
      </c>
      <c r="K570" s="10"/>
      <c r="L570" s="46">
        <f>L571+L573+L574+L575+L572</f>
        <v>800000</v>
      </c>
      <c r="M570" s="10"/>
      <c r="N570" s="46">
        <f>N571+N573+N574+N575+N572</f>
        <v>800000</v>
      </c>
      <c r="O570" s="10"/>
      <c r="P570" s="46">
        <f>P571+P573+P574+P575+P572</f>
        <v>800000</v>
      </c>
      <c r="R570" s="46">
        <f>R571+R573+R574+R575+R572</f>
        <v>261184.53</v>
      </c>
      <c r="S570" s="117">
        <f t="shared" si="25"/>
        <v>32.64806625</v>
      </c>
    </row>
    <row r="571" spans="1:19" ht="32.25" customHeight="1">
      <c r="A571" s="1" t="s">
        <v>319</v>
      </c>
      <c r="B571" s="10">
        <v>908</v>
      </c>
      <c r="C571" s="10" t="s">
        <v>32</v>
      </c>
      <c r="D571" s="10" t="s">
        <v>251</v>
      </c>
      <c r="E571" s="10" t="s">
        <v>314</v>
      </c>
      <c r="F571" s="46">
        <v>0</v>
      </c>
      <c r="G571" s="10" t="s">
        <v>450</v>
      </c>
      <c r="H571" s="46">
        <f>F571+G571</f>
        <v>50000</v>
      </c>
      <c r="I571" s="10" t="s">
        <v>376</v>
      </c>
      <c r="J571" s="46">
        <f>H571+I571</f>
        <v>50000</v>
      </c>
      <c r="K571" s="10" t="s">
        <v>651</v>
      </c>
      <c r="L571" s="46">
        <f>J571+K571</f>
        <v>0</v>
      </c>
      <c r="M571" s="10" t="s">
        <v>376</v>
      </c>
      <c r="N571" s="46">
        <f>L571+M571</f>
        <v>0</v>
      </c>
      <c r="O571" s="10"/>
      <c r="P571" s="46">
        <f>N571+O571</f>
        <v>0</v>
      </c>
      <c r="R571" s="46">
        <f>P571+Q571</f>
        <v>0</v>
      </c>
      <c r="S571" s="117">
        <v>0</v>
      </c>
    </row>
    <row r="572" spans="1:19" ht="33" customHeight="1" hidden="1">
      <c r="A572" s="1" t="s">
        <v>320</v>
      </c>
      <c r="B572" s="10" t="s">
        <v>76</v>
      </c>
      <c r="C572" s="10" t="s">
        <v>32</v>
      </c>
      <c r="D572" s="10" t="s">
        <v>251</v>
      </c>
      <c r="E572" s="10" t="s">
        <v>315</v>
      </c>
      <c r="F572" s="46">
        <v>0</v>
      </c>
      <c r="G572" s="10" t="s">
        <v>376</v>
      </c>
      <c r="H572" s="46">
        <f>F572+G572</f>
        <v>0</v>
      </c>
      <c r="I572" s="10" t="s">
        <v>376</v>
      </c>
      <c r="J572" s="46">
        <f>H572+I572</f>
        <v>0</v>
      </c>
      <c r="K572" s="10"/>
      <c r="L572" s="46">
        <f>J572+K572</f>
        <v>0</v>
      </c>
      <c r="M572" s="10"/>
      <c r="N572" s="46">
        <f>L572+M572</f>
        <v>0</v>
      </c>
      <c r="O572" s="10"/>
      <c r="P572" s="46">
        <f>N572+O572</f>
        <v>0</v>
      </c>
      <c r="R572" s="46">
        <f>P572+Q572</f>
        <v>0</v>
      </c>
      <c r="S572" s="117" t="e">
        <f t="shared" si="25"/>
        <v>#DIV/0!</v>
      </c>
    </row>
    <row r="573" spans="1:19" ht="33" customHeight="1">
      <c r="A573" s="1" t="s">
        <v>365</v>
      </c>
      <c r="B573" s="10">
        <v>908</v>
      </c>
      <c r="C573" s="10" t="s">
        <v>32</v>
      </c>
      <c r="D573" s="10" t="s">
        <v>251</v>
      </c>
      <c r="E573" s="10" t="s">
        <v>316</v>
      </c>
      <c r="F573" s="46">
        <v>0</v>
      </c>
      <c r="G573" s="10" t="s">
        <v>490</v>
      </c>
      <c r="H573" s="46">
        <f>F573+G573</f>
        <v>685000</v>
      </c>
      <c r="I573" s="10" t="s">
        <v>376</v>
      </c>
      <c r="J573" s="46">
        <f>H573+I573</f>
        <v>685000</v>
      </c>
      <c r="K573" s="10" t="s">
        <v>450</v>
      </c>
      <c r="L573" s="46">
        <f>J573+K573</f>
        <v>735000</v>
      </c>
      <c r="M573" s="10" t="s">
        <v>376</v>
      </c>
      <c r="N573" s="46">
        <f>L573+M573</f>
        <v>735000</v>
      </c>
      <c r="O573" s="10" t="s">
        <v>715</v>
      </c>
      <c r="P573" s="46">
        <f>N573+O573</f>
        <v>674000</v>
      </c>
      <c r="R573" s="46">
        <v>152763.5</v>
      </c>
      <c r="S573" s="117">
        <f t="shared" si="25"/>
        <v>22.66520771513353</v>
      </c>
    </row>
    <row r="574" spans="1:19" ht="33" customHeight="1">
      <c r="A574" s="1" t="s">
        <v>343</v>
      </c>
      <c r="B574" s="10">
        <v>908</v>
      </c>
      <c r="C574" s="10" t="s">
        <v>32</v>
      </c>
      <c r="D574" s="10" t="s">
        <v>251</v>
      </c>
      <c r="E574" s="10" t="s">
        <v>317</v>
      </c>
      <c r="F574" s="46">
        <v>0</v>
      </c>
      <c r="G574" s="10" t="s">
        <v>491</v>
      </c>
      <c r="H574" s="46">
        <f>F574+G574</f>
        <v>15000</v>
      </c>
      <c r="I574" s="10" t="s">
        <v>376</v>
      </c>
      <c r="J574" s="46">
        <f>H574+I574</f>
        <v>15000</v>
      </c>
      <c r="K574" s="10"/>
      <c r="L574" s="46">
        <f>J574+K574</f>
        <v>15000</v>
      </c>
      <c r="M574" s="10"/>
      <c r="N574" s="46">
        <f>L574+M574</f>
        <v>15000</v>
      </c>
      <c r="O574" s="10"/>
      <c r="P574" s="46">
        <f>N574+O574</f>
        <v>15000</v>
      </c>
      <c r="R574" s="46">
        <v>421.03</v>
      </c>
      <c r="S574" s="117">
        <f t="shared" si="25"/>
        <v>2.8068666666666666</v>
      </c>
    </row>
    <row r="575" spans="1:19" ht="15.75">
      <c r="A575" s="1" t="s">
        <v>327</v>
      </c>
      <c r="B575" s="10" t="s">
        <v>76</v>
      </c>
      <c r="C575" s="10" t="s">
        <v>32</v>
      </c>
      <c r="D575" s="10" t="s">
        <v>251</v>
      </c>
      <c r="E575" s="10" t="s">
        <v>326</v>
      </c>
      <c r="F575" s="46">
        <v>0</v>
      </c>
      <c r="G575" s="10" t="s">
        <v>450</v>
      </c>
      <c r="H575" s="46">
        <f>F575+G575</f>
        <v>50000</v>
      </c>
      <c r="I575" s="10" t="s">
        <v>376</v>
      </c>
      <c r="J575" s="46">
        <f>H575+I575</f>
        <v>50000</v>
      </c>
      <c r="K575" s="10"/>
      <c r="L575" s="46">
        <f>J575+K575</f>
        <v>50000</v>
      </c>
      <c r="M575" s="10"/>
      <c r="N575" s="46">
        <f>L575+M575</f>
        <v>50000</v>
      </c>
      <c r="O575" s="10" t="s">
        <v>716</v>
      </c>
      <c r="P575" s="46">
        <f>N575+O575</f>
        <v>111000</v>
      </c>
      <c r="R575" s="46">
        <v>108000</v>
      </c>
      <c r="S575" s="117">
        <f t="shared" si="25"/>
        <v>97.2972972972973</v>
      </c>
    </row>
    <row r="576" spans="1:19" ht="18.75" customHeight="1" hidden="1">
      <c r="A576" s="53"/>
      <c r="B576" s="10"/>
      <c r="C576" s="10"/>
      <c r="D576" s="10"/>
      <c r="E576" s="10"/>
      <c r="F576" s="46"/>
      <c r="G576" s="10"/>
      <c r="H576" s="46"/>
      <c r="I576" s="10"/>
      <c r="J576" s="46"/>
      <c r="K576" s="10"/>
      <c r="L576" s="46"/>
      <c r="M576" s="10"/>
      <c r="N576" s="46"/>
      <c r="O576" s="10"/>
      <c r="P576" s="46"/>
      <c r="R576" s="46"/>
      <c r="S576" s="117" t="e">
        <f t="shared" si="25"/>
        <v>#DIV/0!</v>
      </c>
    </row>
    <row r="577" spans="1:19" ht="15.75">
      <c r="A577" s="1" t="s">
        <v>162</v>
      </c>
      <c r="B577" s="10">
        <v>908</v>
      </c>
      <c r="C577" s="10" t="s">
        <v>32</v>
      </c>
      <c r="D577" s="10" t="s">
        <v>33</v>
      </c>
      <c r="E577" s="10"/>
      <c r="F577" s="45">
        <f>F578</f>
        <v>0</v>
      </c>
      <c r="G577" s="10" t="s">
        <v>376</v>
      </c>
      <c r="H577" s="45">
        <f>H578</f>
        <v>10932391</v>
      </c>
      <c r="I577" s="10" t="s">
        <v>376</v>
      </c>
      <c r="J577" s="45">
        <f>J578</f>
        <v>10932391</v>
      </c>
      <c r="K577" s="10"/>
      <c r="L577" s="45">
        <f>L578</f>
        <v>10932391</v>
      </c>
      <c r="M577" s="10"/>
      <c r="N577" s="45">
        <f>N578</f>
        <v>10932391</v>
      </c>
      <c r="O577" s="10"/>
      <c r="P577" s="45">
        <f>P578</f>
        <v>10932391</v>
      </c>
      <c r="R577" s="45">
        <f>R578</f>
        <v>4801880.119999999</v>
      </c>
      <c r="S577" s="117">
        <f t="shared" si="25"/>
        <v>43.92342096070292</v>
      </c>
    </row>
    <row r="578" spans="1:19" ht="35.25" customHeight="1">
      <c r="A578" s="1" t="s">
        <v>153</v>
      </c>
      <c r="B578" s="10">
        <v>908</v>
      </c>
      <c r="C578" s="10" t="s">
        <v>32</v>
      </c>
      <c r="D578" s="10">
        <v>4420000</v>
      </c>
      <c r="E578" s="10"/>
      <c r="F578" s="46">
        <f>F579+F580+F581+F582</f>
        <v>0</v>
      </c>
      <c r="G578" s="10"/>
      <c r="H578" s="46">
        <f>H579+H580+H581+H582</f>
        <v>10932391</v>
      </c>
      <c r="I578" s="10"/>
      <c r="J578" s="46">
        <f>J579+J580+J581+J582</f>
        <v>10932391</v>
      </c>
      <c r="K578" s="10"/>
      <c r="L578" s="46">
        <f>L579+L580+L581+L582</f>
        <v>10932391</v>
      </c>
      <c r="M578" s="10"/>
      <c r="N578" s="46">
        <f>N579+N580+N581+N582</f>
        <v>10932391</v>
      </c>
      <c r="O578" s="10"/>
      <c r="P578" s="46">
        <f>P579+P580+P581+P582</f>
        <v>10932391</v>
      </c>
      <c r="R578" s="46">
        <f>R579+R580+R581+R582</f>
        <v>4801880.119999999</v>
      </c>
      <c r="S578" s="117">
        <f t="shared" si="25"/>
        <v>43.92342096070292</v>
      </c>
    </row>
    <row r="579" spans="1:19" ht="15.75">
      <c r="A579" s="1" t="s">
        <v>318</v>
      </c>
      <c r="B579" s="10" t="s">
        <v>76</v>
      </c>
      <c r="C579" s="10" t="s">
        <v>32</v>
      </c>
      <c r="D579" s="10" t="s">
        <v>33</v>
      </c>
      <c r="E579" s="10" t="s">
        <v>313</v>
      </c>
      <c r="F579" s="46">
        <v>0</v>
      </c>
      <c r="G579" s="10" t="s">
        <v>492</v>
      </c>
      <c r="H579" s="46">
        <f>F579+G579</f>
        <v>8880042</v>
      </c>
      <c r="I579" s="10" t="s">
        <v>556</v>
      </c>
      <c r="J579" s="46">
        <f>H579+I579</f>
        <v>8880042</v>
      </c>
      <c r="K579" s="10"/>
      <c r="L579" s="46">
        <f>J579+K579</f>
        <v>8880042</v>
      </c>
      <c r="M579" s="10"/>
      <c r="N579" s="46">
        <f>L579+M579</f>
        <v>8880042</v>
      </c>
      <c r="O579" s="10"/>
      <c r="P579" s="46">
        <f>N579+O579</f>
        <v>8880042</v>
      </c>
      <c r="R579" s="46">
        <v>3592913.03</v>
      </c>
      <c r="S579" s="117">
        <f t="shared" si="25"/>
        <v>40.46054095239639</v>
      </c>
    </row>
    <row r="580" spans="1:19" ht="31.5" customHeight="1">
      <c r="A580" s="1" t="s">
        <v>319</v>
      </c>
      <c r="B580" s="10" t="s">
        <v>76</v>
      </c>
      <c r="C580" s="10" t="s">
        <v>32</v>
      </c>
      <c r="D580" s="10" t="s">
        <v>33</v>
      </c>
      <c r="E580" s="10" t="s">
        <v>314</v>
      </c>
      <c r="F580" s="46">
        <v>0</v>
      </c>
      <c r="G580" s="10" t="s">
        <v>493</v>
      </c>
      <c r="H580" s="46">
        <f>F580+G580</f>
        <v>13327</v>
      </c>
      <c r="I580" s="10" t="s">
        <v>376</v>
      </c>
      <c r="J580" s="46">
        <f>H580+I580</f>
        <v>13327</v>
      </c>
      <c r="K580" s="10"/>
      <c r="L580" s="46">
        <f>J580+K580</f>
        <v>13327</v>
      </c>
      <c r="M580" s="10"/>
      <c r="N580" s="46">
        <f>L580+M580</f>
        <v>13327</v>
      </c>
      <c r="O580" s="10"/>
      <c r="P580" s="46">
        <f>N580+O580</f>
        <v>13327</v>
      </c>
      <c r="R580" s="46">
        <v>3554</v>
      </c>
      <c r="S580" s="117">
        <f t="shared" si="25"/>
        <v>26.667667141892398</v>
      </c>
    </row>
    <row r="581" spans="1:19" ht="47.25">
      <c r="A581" s="1" t="s">
        <v>320</v>
      </c>
      <c r="B581" s="10" t="s">
        <v>76</v>
      </c>
      <c r="C581" s="10" t="s">
        <v>32</v>
      </c>
      <c r="D581" s="10" t="s">
        <v>33</v>
      </c>
      <c r="E581" s="10" t="s">
        <v>315</v>
      </c>
      <c r="F581" s="46">
        <v>0</v>
      </c>
      <c r="G581" s="10" t="s">
        <v>494</v>
      </c>
      <c r="H581" s="46">
        <f>F581+G581</f>
        <v>246100</v>
      </c>
      <c r="I581" s="10" t="s">
        <v>376</v>
      </c>
      <c r="J581" s="46">
        <f>H581+I581</f>
        <v>246100</v>
      </c>
      <c r="K581" s="10"/>
      <c r="L581" s="46">
        <f>J581+K581</f>
        <v>246100</v>
      </c>
      <c r="M581" s="10"/>
      <c r="N581" s="46">
        <f>L581+M581</f>
        <v>246100</v>
      </c>
      <c r="O581" s="10"/>
      <c r="P581" s="46">
        <f>N581+O581</f>
        <v>246100</v>
      </c>
      <c r="R581" s="46">
        <v>99976.63</v>
      </c>
      <c r="S581" s="117">
        <f t="shared" si="25"/>
        <v>40.62439252336449</v>
      </c>
    </row>
    <row r="582" spans="1:19" ht="32.25" customHeight="1">
      <c r="A582" s="1" t="s">
        <v>365</v>
      </c>
      <c r="B582" s="10" t="s">
        <v>76</v>
      </c>
      <c r="C582" s="10" t="s">
        <v>32</v>
      </c>
      <c r="D582" s="10" t="s">
        <v>33</v>
      </c>
      <c r="E582" s="10" t="s">
        <v>316</v>
      </c>
      <c r="F582" s="46">
        <v>0</v>
      </c>
      <c r="G582" s="68">
        <v>1792922</v>
      </c>
      <c r="H582" s="46">
        <f>F582+G582</f>
        <v>1792922</v>
      </c>
      <c r="I582" s="68">
        <v>0</v>
      </c>
      <c r="J582" s="46">
        <f>H582+I582</f>
        <v>1792922</v>
      </c>
      <c r="K582" s="68"/>
      <c r="L582" s="46">
        <f>J582+K582</f>
        <v>1792922</v>
      </c>
      <c r="M582" s="68"/>
      <c r="N582" s="46">
        <f>L582+M582</f>
        <v>1792922</v>
      </c>
      <c r="O582" s="68"/>
      <c r="P582" s="46">
        <f>N582+O582</f>
        <v>1792922</v>
      </c>
      <c r="R582" s="46">
        <v>1105436.46</v>
      </c>
      <c r="S582" s="117">
        <f t="shared" si="25"/>
        <v>61.65558010889486</v>
      </c>
    </row>
    <row r="583" spans="1:19" ht="31.5">
      <c r="A583" s="1" t="s">
        <v>163</v>
      </c>
      <c r="B583" s="10">
        <v>908</v>
      </c>
      <c r="C583" s="10" t="s">
        <v>32</v>
      </c>
      <c r="D583" s="10">
        <v>4430000</v>
      </c>
      <c r="E583" s="10"/>
      <c r="F583" s="45">
        <f>F584+F585+F586</f>
        <v>0</v>
      </c>
      <c r="G583" s="10"/>
      <c r="H583" s="45">
        <f>H584+H585+H586</f>
        <v>1592790</v>
      </c>
      <c r="I583" s="10"/>
      <c r="J583" s="45">
        <f>J584+J585+J586</f>
        <v>1592790</v>
      </c>
      <c r="K583" s="10"/>
      <c r="L583" s="45">
        <f>L584+L585+L586</f>
        <v>1592790</v>
      </c>
      <c r="M583" s="10"/>
      <c r="N583" s="45">
        <f>N584+N585+N586</f>
        <v>1592790</v>
      </c>
      <c r="O583" s="10"/>
      <c r="P583" s="45">
        <f>P584+P585+P586</f>
        <v>1572790</v>
      </c>
      <c r="R583" s="45">
        <f>R584+R585+R586</f>
        <v>602144</v>
      </c>
      <c r="S583" s="117">
        <f t="shared" si="25"/>
        <v>38.285085739354905</v>
      </c>
    </row>
    <row r="584" spans="1:19" ht="15.75">
      <c r="A584" s="1" t="s">
        <v>318</v>
      </c>
      <c r="B584" s="10">
        <v>908</v>
      </c>
      <c r="C584" s="10" t="s">
        <v>32</v>
      </c>
      <c r="D584" s="10">
        <v>4430000</v>
      </c>
      <c r="E584" s="10" t="s">
        <v>313</v>
      </c>
      <c r="F584" s="46">
        <v>0</v>
      </c>
      <c r="G584" s="10" t="s">
        <v>495</v>
      </c>
      <c r="H584" s="46">
        <f>F584+G584</f>
        <v>1552790</v>
      </c>
      <c r="I584" s="10" t="s">
        <v>376</v>
      </c>
      <c r="J584" s="46">
        <f>H584+I584</f>
        <v>1552790</v>
      </c>
      <c r="K584" s="10"/>
      <c r="L584" s="46">
        <f>J584+K584</f>
        <v>1552790</v>
      </c>
      <c r="M584" s="10"/>
      <c r="N584" s="46">
        <f>L584+M584</f>
        <v>1552790</v>
      </c>
      <c r="O584" s="10"/>
      <c r="P584" s="46">
        <f>N584+O584</f>
        <v>1552790</v>
      </c>
      <c r="R584" s="46">
        <v>602144</v>
      </c>
      <c r="S584" s="117">
        <f t="shared" si="25"/>
        <v>38.77819924136554</v>
      </c>
    </row>
    <row r="585" spans="1:19" ht="30.75" customHeight="1">
      <c r="A585" s="1" t="s">
        <v>319</v>
      </c>
      <c r="B585" s="10" t="s">
        <v>76</v>
      </c>
      <c r="C585" s="10" t="s">
        <v>32</v>
      </c>
      <c r="D585" s="10" t="s">
        <v>111</v>
      </c>
      <c r="E585" s="10" t="s">
        <v>314</v>
      </c>
      <c r="F585" s="46">
        <v>0</v>
      </c>
      <c r="G585" s="10" t="s">
        <v>496</v>
      </c>
      <c r="H585" s="46">
        <f>F585+G585</f>
        <v>20000</v>
      </c>
      <c r="I585" s="10" t="s">
        <v>376</v>
      </c>
      <c r="J585" s="46">
        <f>H585+I585</f>
        <v>20000</v>
      </c>
      <c r="K585" s="10"/>
      <c r="L585" s="46">
        <f>J585+K585</f>
        <v>20000</v>
      </c>
      <c r="M585" s="10"/>
      <c r="N585" s="46">
        <f>L585+M585</f>
        <v>20000</v>
      </c>
      <c r="O585" s="10"/>
      <c r="P585" s="46">
        <f>N585+O585</f>
        <v>20000</v>
      </c>
      <c r="R585" s="46">
        <v>0</v>
      </c>
      <c r="S585" s="117">
        <f t="shared" si="25"/>
        <v>0</v>
      </c>
    </row>
    <row r="586" spans="1:19" ht="0.75" customHeight="1">
      <c r="A586" s="1" t="s">
        <v>365</v>
      </c>
      <c r="B586" s="10" t="s">
        <v>76</v>
      </c>
      <c r="C586" s="10" t="s">
        <v>32</v>
      </c>
      <c r="D586" s="10" t="s">
        <v>111</v>
      </c>
      <c r="E586" s="10" t="s">
        <v>316</v>
      </c>
      <c r="F586" s="46">
        <v>0</v>
      </c>
      <c r="G586" s="10" t="s">
        <v>496</v>
      </c>
      <c r="H586" s="46">
        <f>F586+G586</f>
        <v>20000</v>
      </c>
      <c r="I586" s="10" t="s">
        <v>376</v>
      </c>
      <c r="J586" s="46">
        <f>H586+I586</f>
        <v>20000</v>
      </c>
      <c r="K586" s="10"/>
      <c r="L586" s="46">
        <f>J586+K586</f>
        <v>20000</v>
      </c>
      <c r="M586" s="10"/>
      <c r="N586" s="46">
        <f>L586+M586</f>
        <v>20000</v>
      </c>
      <c r="O586" s="10" t="s">
        <v>728</v>
      </c>
      <c r="P586" s="46">
        <f>N586+O586</f>
        <v>0</v>
      </c>
      <c r="R586" s="46">
        <f>P586+Q586</f>
        <v>0</v>
      </c>
      <c r="S586" s="117">
        <v>0</v>
      </c>
    </row>
    <row r="587" spans="1:19" ht="30.75" customHeight="1" hidden="1">
      <c r="A587" s="1" t="s">
        <v>413</v>
      </c>
      <c r="B587" s="10" t="s">
        <v>76</v>
      </c>
      <c r="C587" s="10" t="s">
        <v>32</v>
      </c>
      <c r="D587" s="10" t="s">
        <v>410</v>
      </c>
      <c r="E587" s="10"/>
      <c r="F587" s="46">
        <f>F588</f>
        <v>0</v>
      </c>
      <c r="G587" s="10"/>
      <c r="H587" s="46">
        <f>H588</f>
        <v>0</v>
      </c>
      <c r="I587" s="10"/>
      <c r="J587" s="46">
        <f>J588</f>
        <v>0</v>
      </c>
      <c r="K587" s="10"/>
      <c r="L587" s="46">
        <f>L588</f>
        <v>0</v>
      </c>
      <c r="M587" s="10"/>
      <c r="N587" s="46">
        <f>N588</f>
        <v>0</v>
      </c>
      <c r="O587" s="10"/>
      <c r="P587" s="46">
        <f>P588</f>
        <v>0</v>
      </c>
      <c r="R587" s="46">
        <f>R588</f>
        <v>0</v>
      </c>
      <c r="S587" s="117" t="e">
        <f t="shared" si="25"/>
        <v>#DIV/0!</v>
      </c>
    </row>
    <row r="588" spans="1:19" ht="30.75" customHeight="1" hidden="1">
      <c r="A588" s="1" t="s">
        <v>318</v>
      </c>
      <c r="B588" s="10" t="s">
        <v>76</v>
      </c>
      <c r="C588" s="10" t="s">
        <v>32</v>
      </c>
      <c r="D588" s="10" t="s">
        <v>410</v>
      </c>
      <c r="E588" s="10" t="s">
        <v>313</v>
      </c>
      <c r="F588" s="46">
        <v>0</v>
      </c>
      <c r="G588" s="10" t="s">
        <v>376</v>
      </c>
      <c r="H588" s="46">
        <f>F588+G588</f>
        <v>0</v>
      </c>
      <c r="I588" s="10" t="s">
        <v>376</v>
      </c>
      <c r="J588" s="46">
        <f>H588+I588</f>
        <v>0</v>
      </c>
      <c r="K588" s="10"/>
      <c r="L588" s="46">
        <f>J588+K588</f>
        <v>0</v>
      </c>
      <c r="M588" s="10"/>
      <c r="N588" s="46">
        <f>L588+M588</f>
        <v>0</v>
      </c>
      <c r="O588" s="10"/>
      <c r="P588" s="46">
        <f>N588+O588</f>
        <v>0</v>
      </c>
      <c r="R588" s="46">
        <f>P588+Q588</f>
        <v>0</v>
      </c>
      <c r="S588" s="117" t="e">
        <f t="shared" si="25"/>
        <v>#DIV/0!</v>
      </c>
    </row>
    <row r="589" spans="1:19" ht="30.75" customHeight="1" hidden="1">
      <c r="A589" s="1" t="s">
        <v>412</v>
      </c>
      <c r="B589" s="10" t="s">
        <v>76</v>
      </c>
      <c r="C589" s="10" t="s">
        <v>32</v>
      </c>
      <c r="D589" s="10" t="s">
        <v>411</v>
      </c>
      <c r="E589" s="10"/>
      <c r="F589" s="46">
        <f>F590</f>
        <v>0</v>
      </c>
      <c r="G589" s="10"/>
      <c r="H589" s="46">
        <f>H590</f>
        <v>0</v>
      </c>
      <c r="I589" s="10"/>
      <c r="J589" s="46">
        <f>J590</f>
        <v>0</v>
      </c>
      <c r="K589" s="10"/>
      <c r="L589" s="46">
        <f>L590</f>
        <v>0</v>
      </c>
      <c r="M589" s="10"/>
      <c r="N589" s="46">
        <f>N590</f>
        <v>0</v>
      </c>
      <c r="O589" s="10"/>
      <c r="P589" s="46">
        <f>P590</f>
        <v>0</v>
      </c>
      <c r="R589" s="46">
        <f>R590</f>
        <v>0</v>
      </c>
      <c r="S589" s="117" t="e">
        <f aca="true" t="shared" si="26" ref="S589:S652">R589/P589*100</f>
        <v>#DIV/0!</v>
      </c>
    </row>
    <row r="590" spans="1:19" ht="30.75" customHeight="1" hidden="1">
      <c r="A590" s="1" t="s">
        <v>365</v>
      </c>
      <c r="B590" s="10" t="s">
        <v>76</v>
      </c>
      <c r="C590" s="10" t="s">
        <v>32</v>
      </c>
      <c r="D590" s="10" t="s">
        <v>411</v>
      </c>
      <c r="E590" s="10" t="s">
        <v>316</v>
      </c>
      <c r="F590" s="46">
        <v>0</v>
      </c>
      <c r="G590" s="10" t="s">
        <v>376</v>
      </c>
      <c r="H590" s="46">
        <f>F590+G590</f>
        <v>0</v>
      </c>
      <c r="I590" s="10" t="s">
        <v>376</v>
      </c>
      <c r="J590" s="46">
        <f>H590+I590</f>
        <v>0</v>
      </c>
      <c r="K590" s="10"/>
      <c r="L590" s="46">
        <f>J590+K590</f>
        <v>0</v>
      </c>
      <c r="M590" s="10"/>
      <c r="N590" s="46">
        <f>L590+M590</f>
        <v>0</v>
      </c>
      <c r="O590" s="10"/>
      <c r="P590" s="46">
        <f>N590+O590</f>
        <v>0</v>
      </c>
      <c r="R590" s="46">
        <f>P590+Q590</f>
        <v>0</v>
      </c>
      <c r="S590" s="117" t="e">
        <f t="shared" si="26"/>
        <v>#DIV/0!</v>
      </c>
    </row>
    <row r="591" spans="1:19" ht="0.75" customHeight="1" hidden="1">
      <c r="A591" s="36" t="s">
        <v>236</v>
      </c>
      <c r="B591" s="10" t="s">
        <v>76</v>
      </c>
      <c r="C591" s="39" t="s">
        <v>32</v>
      </c>
      <c r="D591" s="10" t="s">
        <v>294</v>
      </c>
      <c r="E591" s="10"/>
      <c r="F591" s="46">
        <f>F592</f>
        <v>0</v>
      </c>
      <c r="G591" s="10"/>
      <c r="H591" s="46">
        <f>H592</f>
        <v>0</v>
      </c>
      <c r="I591" s="10"/>
      <c r="J591" s="46">
        <f>J592</f>
        <v>0</v>
      </c>
      <c r="K591" s="10"/>
      <c r="L591" s="46">
        <f>L592</f>
        <v>0</v>
      </c>
      <c r="M591" s="10"/>
      <c r="N591" s="46">
        <f>N592</f>
        <v>0</v>
      </c>
      <c r="O591" s="10"/>
      <c r="P591" s="46">
        <f>P592</f>
        <v>0</v>
      </c>
      <c r="R591" s="46">
        <f>R592</f>
        <v>0</v>
      </c>
      <c r="S591" s="117" t="e">
        <f t="shared" si="26"/>
        <v>#DIV/0!</v>
      </c>
    </row>
    <row r="592" spans="1:19" ht="0.75" customHeight="1" hidden="1">
      <c r="A592" s="18" t="s">
        <v>320</v>
      </c>
      <c r="B592" s="10" t="s">
        <v>76</v>
      </c>
      <c r="C592" s="39" t="s">
        <v>32</v>
      </c>
      <c r="D592" s="10" t="s">
        <v>294</v>
      </c>
      <c r="E592" s="10" t="s">
        <v>315</v>
      </c>
      <c r="F592" s="46">
        <v>0</v>
      </c>
      <c r="G592" s="10" t="s">
        <v>376</v>
      </c>
      <c r="H592" s="46">
        <f>F592+G592</f>
        <v>0</v>
      </c>
      <c r="I592" s="10" t="s">
        <v>376</v>
      </c>
      <c r="J592" s="46">
        <f>H592+I592</f>
        <v>0</v>
      </c>
      <c r="K592" s="10"/>
      <c r="L592" s="46">
        <f>J592+K592</f>
        <v>0</v>
      </c>
      <c r="M592" s="10"/>
      <c r="N592" s="46">
        <f>L592+M592</f>
        <v>0</v>
      </c>
      <c r="O592" s="10"/>
      <c r="P592" s="46">
        <f>N592+O592</f>
        <v>0</v>
      </c>
      <c r="R592" s="46">
        <f>P592+Q592</f>
        <v>0</v>
      </c>
      <c r="S592" s="117" t="e">
        <f t="shared" si="26"/>
        <v>#DIV/0!</v>
      </c>
    </row>
    <row r="593" spans="1:19" ht="51.75" customHeight="1" hidden="1">
      <c r="A593" s="1" t="s">
        <v>306</v>
      </c>
      <c r="B593" s="10" t="s">
        <v>76</v>
      </c>
      <c r="C593" s="10" t="s">
        <v>32</v>
      </c>
      <c r="D593" s="10" t="s">
        <v>257</v>
      </c>
      <c r="E593" s="10"/>
      <c r="F593" s="46">
        <f>F594</f>
        <v>0</v>
      </c>
      <c r="G593" s="10"/>
      <c r="H593" s="46">
        <f>H594</f>
        <v>42420</v>
      </c>
      <c r="I593" s="10" t="s">
        <v>376</v>
      </c>
      <c r="J593" s="46">
        <f>J594</f>
        <v>0</v>
      </c>
      <c r="K593" s="10"/>
      <c r="L593" s="46">
        <f>L594</f>
        <v>0</v>
      </c>
      <c r="M593" s="10"/>
      <c r="N593" s="46">
        <f>N594</f>
        <v>0</v>
      </c>
      <c r="O593" s="10"/>
      <c r="P593" s="46">
        <f>P594</f>
        <v>0</v>
      </c>
      <c r="R593" s="46">
        <f>R594</f>
        <v>0</v>
      </c>
      <c r="S593" s="117" t="e">
        <f t="shared" si="26"/>
        <v>#DIV/0!</v>
      </c>
    </row>
    <row r="594" spans="1:19" ht="30.75" customHeight="1" hidden="1">
      <c r="A594" s="18" t="s">
        <v>320</v>
      </c>
      <c r="B594" s="10" t="s">
        <v>76</v>
      </c>
      <c r="C594" s="10" t="s">
        <v>32</v>
      </c>
      <c r="D594" s="10" t="s">
        <v>257</v>
      </c>
      <c r="E594" s="10" t="s">
        <v>315</v>
      </c>
      <c r="F594" s="46">
        <v>0</v>
      </c>
      <c r="G594" s="10" t="s">
        <v>479</v>
      </c>
      <c r="H594" s="46">
        <f>F594+G594</f>
        <v>42420</v>
      </c>
      <c r="I594" s="10" t="s">
        <v>567</v>
      </c>
      <c r="J594" s="46">
        <f>H594+I594</f>
        <v>0</v>
      </c>
      <c r="K594" s="10"/>
      <c r="L594" s="46">
        <f>J594+K594</f>
        <v>0</v>
      </c>
      <c r="M594" s="10"/>
      <c r="N594" s="46">
        <f>L594+M594</f>
        <v>0</v>
      </c>
      <c r="O594" s="10"/>
      <c r="P594" s="46">
        <f>N594+O594</f>
        <v>0</v>
      </c>
      <c r="R594" s="46">
        <f>P594+Q594</f>
        <v>0</v>
      </c>
      <c r="S594" s="117" t="e">
        <f t="shared" si="26"/>
        <v>#DIV/0!</v>
      </c>
    </row>
    <row r="595" spans="1:19" ht="95.25" customHeight="1" hidden="1">
      <c r="A595" s="18" t="s">
        <v>282</v>
      </c>
      <c r="B595" s="10" t="s">
        <v>76</v>
      </c>
      <c r="C595" s="10" t="s">
        <v>32</v>
      </c>
      <c r="D595" s="10" t="s">
        <v>283</v>
      </c>
      <c r="E595" s="10"/>
      <c r="F595" s="46">
        <f>F596</f>
        <v>0</v>
      </c>
      <c r="G595" s="10"/>
      <c r="H595" s="46">
        <f>H596</f>
        <v>0</v>
      </c>
      <c r="I595" s="10"/>
      <c r="J595" s="46">
        <f>J596</f>
        <v>0</v>
      </c>
      <c r="K595" s="10"/>
      <c r="L595" s="46">
        <f>L596</f>
        <v>0</v>
      </c>
      <c r="M595" s="10"/>
      <c r="N595" s="46">
        <f>N596</f>
        <v>0</v>
      </c>
      <c r="O595" s="10"/>
      <c r="P595" s="46">
        <f>P596</f>
        <v>0</v>
      </c>
      <c r="R595" s="46">
        <f>R596</f>
        <v>0</v>
      </c>
      <c r="S595" s="117" t="e">
        <f t="shared" si="26"/>
        <v>#DIV/0!</v>
      </c>
    </row>
    <row r="596" spans="1:19" ht="36.75" customHeight="1" hidden="1">
      <c r="A596" s="1" t="s">
        <v>365</v>
      </c>
      <c r="B596" s="8" t="s">
        <v>76</v>
      </c>
      <c r="C596" s="29" t="s">
        <v>32</v>
      </c>
      <c r="D596" s="8" t="s">
        <v>283</v>
      </c>
      <c r="E596" s="8" t="s">
        <v>316</v>
      </c>
      <c r="F596" s="46">
        <v>0</v>
      </c>
      <c r="G596" s="8"/>
      <c r="H596" s="46">
        <f>F596+G596</f>
        <v>0</v>
      </c>
      <c r="I596" s="8"/>
      <c r="J596" s="46">
        <f>H596+I596</f>
        <v>0</v>
      </c>
      <c r="K596" s="8"/>
      <c r="L596" s="46">
        <f>J596+K596</f>
        <v>0</v>
      </c>
      <c r="M596" s="8"/>
      <c r="N596" s="46">
        <f>L596+M596</f>
        <v>0</v>
      </c>
      <c r="O596" s="8"/>
      <c r="P596" s="46">
        <f>N596+O596</f>
        <v>0</v>
      </c>
      <c r="R596" s="46">
        <f>P596+Q596</f>
        <v>0</v>
      </c>
      <c r="S596" s="117" t="e">
        <f t="shared" si="26"/>
        <v>#DIV/0!</v>
      </c>
    </row>
    <row r="597" spans="1:19" ht="47.25">
      <c r="A597" s="1" t="s">
        <v>663</v>
      </c>
      <c r="B597" s="8" t="s">
        <v>76</v>
      </c>
      <c r="C597" s="29" t="s">
        <v>32</v>
      </c>
      <c r="D597" s="8" t="s">
        <v>661</v>
      </c>
      <c r="E597" s="8"/>
      <c r="F597" s="46"/>
      <c r="G597" s="8"/>
      <c r="H597" s="46"/>
      <c r="I597" s="8"/>
      <c r="J597" s="46"/>
      <c r="K597" s="8"/>
      <c r="L597" s="46"/>
      <c r="M597" s="8"/>
      <c r="N597" s="46">
        <f>N598</f>
        <v>4548000</v>
      </c>
      <c r="O597" s="8"/>
      <c r="P597" s="46">
        <f>P598</f>
        <v>20670000</v>
      </c>
      <c r="R597" s="46">
        <f>R598</f>
        <v>0</v>
      </c>
      <c r="S597" s="117">
        <f t="shared" si="26"/>
        <v>0</v>
      </c>
    </row>
    <row r="598" spans="1:19" ht="15.75">
      <c r="A598" s="1" t="s">
        <v>318</v>
      </c>
      <c r="B598" s="8" t="s">
        <v>76</v>
      </c>
      <c r="C598" s="29" t="s">
        <v>32</v>
      </c>
      <c r="D598" s="8" t="s">
        <v>661</v>
      </c>
      <c r="E598" s="8" t="s">
        <v>313</v>
      </c>
      <c r="F598" s="46"/>
      <c r="G598" s="8"/>
      <c r="H598" s="46"/>
      <c r="I598" s="8"/>
      <c r="J598" s="46"/>
      <c r="K598" s="8"/>
      <c r="L598" s="46"/>
      <c r="M598" s="8" t="s">
        <v>662</v>
      </c>
      <c r="N598" s="46">
        <f>L598+M598</f>
        <v>4548000</v>
      </c>
      <c r="O598" s="8" t="s">
        <v>754</v>
      </c>
      <c r="P598" s="46">
        <f>N598+O598</f>
        <v>20670000</v>
      </c>
      <c r="R598" s="46">
        <v>0</v>
      </c>
      <c r="S598" s="117">
        <f t="shared" si="26"/>
        <v>0</v>
      </c>
    </row>
    <row r="599" spans="1:19" ht="30.75" customHeight="1">
      <c r="A599" s="1" t="s">
        <v>221</v>
      </c>
      <c r="B599" s="10">
        <v>908</v>
      </c>
      <c r="C599" s="10" t="s">
        <v>218</v>
      </c>
      <c r="D599" s="10"/>
      <c r="E599" s="10"/>
      <c r="F599" s="45" t="e">
        <f>#REF!+F606+F600</f>
        <v>#REF!</v>
      </c>
      <c r="G599" s="10"/>
      <c r="H599" s="45">
        <f>H606+H600</f>
        <v>1947900</v>
      </c>
      <c r="I599" s="10"/>
      <c r="J599" s="45">
        <f>J606+J600</f>
        <v>3764320</v>
      </c>
      <c r="K599" s="10"/>
      <c r="L599" s="45">
        <f>L606+L600</f>
        <v>3764825.5</v>
      </c>
      <c r="M599" s="10"/>
      <c r="N599" s="45">
        <f>N606+N600+N616</f>
        <v>11479328.57</v>
      </c>
      <c r="O599" s="10"/>
      <c r="P599" s="45">
        <f>P606+P600+P616</f>
        <v>11421328.57</v>
      </c>
      <c r="R599" s="45">
        <f>R606+R600+R616</f>
        <v>480775.01</v>
      </c>
      <c r="S599" s="117">
        <f t="shared" si="26"/>
        <v>4.209449076378336</v>
      </c>
    </row>
    <row r="600" spans="1:19" ht="15.75">
      <c r="A600" s="18" t="s">
        <v>138</v>
      </c>
      <c r="B600" s="8" t="s">
        <v>76</v>
      </c>
      <c r="C600" s="29" t="s">
        <v>218</v>
      </c>
      <c r="D600" s="8" t="s">
        <v>85</v>
      </c>
      <c r="E600" s="8"/>
      <c r="F600" s="45">
        <f>F601+F602+F604</f>
        <v>0</v>
      </c>
      <c r="G600" s="10"/>
      <c r="H600" s="45">
        <f>H601+H602+H604+H603</f>
        <v>439900</v>
      </c>
      <c r="I600" s="10"/>
      <c r="J600" s="45">
        <f>J601+J602+J604+J603</f>
        <v>439900</v>
      </c>
      <c r="K600" s="10"/>
      <c r="L600" s="45">
        <f>L601+L602+L604+L603+L605</f>
        <v>439900</v>
      </c>
      <c r="M600" s="10"/>
      <c r="N600" s="45">
        <f>N601+N602+N604+N603+N605</f>
        <v>439900</v>
      </c>
      <c r="O600" s="10"/>
      <c r="P600" s="45">
        <f>P601+P602+P604+P603+P605</f>
        <v>439900</v>
      </c>
      <c r="R600" s="45">
        <f>R601+R602+R604+R603+R605</f>
        <v>193812.01</v>
      </c>
      <c r="S600" s="117">
        <f t="shared" si="26"/>
        <v>44.05819731757218</v>
      </c>
    </row>
    <row r="601" spans="1:19" ht="15.75">
      <c r="A601" s="1" t="s">
        <v>318</v>
      </c>
      <c r="B601" s="8" t="s">
        <v>76</v>
      </c>
      <c r="C601" s="29" t="s">
        <v>218</v>
      </c>
      <c r="D601" s="8" t="s">
        <v>85</v>
      </c>
      <c r="E601" s="8" t="s">
        <v>342</v>
      </c>
      <c r="F601" s="46">
        <v>0</v>
      </c>
      <c r="G601" s="10" t="s">
        <v>497</v>
      </c>
      <c r="H601" s="46">
        <f>F601+G601</f>
        <v>426546</v>
      </c>
      <c r="I601" s="10" t="s">
        <v>376</v>
      </c>
      <c r="J601" s="46">
        <f>H601+I601</f>
        <v>426546</v>
      </c>
      <c r="K601" s="10"/>
      <c r="L601" s="46">
        <f>J601+K601</f>
        <v>426546</v>
      </c>
      <c r="M601" s="10"/>
      <c r="N601" s="46">
        <f>L601+M601</f>
        <v>426546</v>
      </c>
      <c r="O601" s="10"/>
      <c r="P601" s="46">
        <f>N601+O601</f>
        <v>426546</v>
      </c>
      <c r="R601" s="46">
        <v>184762</v>
      </c>
      <c r="S601" s="117">
        <f t="shared" si="26"/>
        <v>43.31584401213468</v>
      </c>
    </row>
    <row r="602" spans="1:19" ht="30.75" customHeight="1">
      <c r="A602" s="1" t="s">
        <v>319</v>
      </c>
      <c r="B602" s="8" t="s">
        <v>76</v>
      </c>
      <c r="C602" s="29" t="s">
        <v>218</v>
      </c>
      <c r="D602" s="8" t="s">
        <v>85</v>
      </c>
      <c r="E602" s="8" t="s">
        <v>348</v>
      </c>
      <c r="F602" s="46">
        <v>0</v>
      </c>
      <c r="G602" s="10" t="s">
        <v>498</v>
      </c>
      <c r="H602" s="46">
        <f>F602+G602</f>
        <v>4800</v>
      </c>
      <c r="I602" s="10" t="s">
        <v>376</v>
      </c>
      <c r="J602" s="46">
        <f>H602+I602</f>
        <v>4800</v>
      </c>
      <c r="K602" s="10"/>
      <c r="L602" s="46">
        <f>J602+K602</f>
        <v>4800</v>
      </c>
      <c r="M602" s="10"/>
      <c r="N602" s="46">
        <f>L602+M602</f>
        <v>4800</v>
      </c>
      <c r="O602" s="10"/>
      <c r="P602" s="46">
        <f>N602+O602</f>
        <v>4800</v>
      </c>
      <c r="R602" s="46">
        <v>1200</v>
      </c>
      <c r="S602" s="117">
        <f t="shared" si="26"/>
        <v>25</v>
      </c>
    </row>
    <row r="603" spans="1:19" ht="47.25">
      <c r="A603" s="1" t="s">
        <v>320</v>
      </c>
      <c r="B603" s="8" t="s">
        <v>76</v>
      </c>
      <c r="C603" s="29" t="s">
        <v>218</v>
      </c>
      <c r="D603" s="8" t="s">
        <v>85</v>
      </c>
      <c r="E603" s="8" t="s">
        <v>315</v>
      </c>
      <c r="F603" s="46"/>
      <c r="G603" s="10" t="s">
        <v>499</v>
      </c>
      <c r="H603" s="46">
        <v>7600</v>
      </c>
      <c r="I603" s="10" t="s">
        <v>376</v>
      </c>
      <c r="J603" s="46">
        <f>H603+I603</f>
        <v>7600</v>
      </c>
      <c r="K603" s="10" t="s">
        <v>615</v>
      </c>
      <c r="L603" s="46">
        <f>J603+K603</f>
        <v>7850</v>
      </c>
      <c r="M603" s="10" t="s">
        <v>376</v>
      </c>
      <c r="N603" s="46">
        <f>L603+M603</f>
        <v>7850</v>
      </c>
      <c r="O603" s="10"/>
      <c r="P603" s="46">
        <f>N603+O603</f>
        <v>7850</v>
      </c>
      <c r="R603" s="46">
        <v>7850</v>
      </c>
      <c r="S603" s="117">
        <f t="shared" si="26"/>
        <v>100</v>
      </c>
    </row>
    <row r="604" spans="1:19" ht="30.75" customHeight="1">
      <c r="A604" s="1" t="s">
        <v>365</v>
      </c>
      <c r="B604" s="8" t="s">
        <v>76</v>
      </c>
      <c r="C604" s="29" t="s">
        <v>218</v>
      </c>
      <c r="D604" s="8" t="s">
        <v>85</v>
      </c>
      <c r="E604" s="8" t="s">
        <v>316</v>
      </c>
      <c r="F604" s="46">
        <v>0</v>
      </c>
      <c r="G604" s="10" t="s">
        <v>500</v>
      </c>
      <c r="H604" s="46">
        <v>954</v>
      </c>
      <c r="I604" s="10" t="s">
        <v>376</v>
      </c>
      <c r="J604" s="46">
        <f>H604+I604</f>
        <v>954</v>
      </c>
      <c r="K604" s="10" t="s">
        <v>616</v>
      </c>
      <c r="L604" s="46">
        <f>J604+K604</f>
        <v>703.99</v>
      </c>
      <c r="M604" s="10" t="s">
        <v>376</v>
      </c>
      <c r="N604" s="46">
        <f>L604+M604</f>
        <v>703.99</v>
      </c>
      <c r="O604" s="10"/>
      <c r="P604" s="46">
        <f>N604+O604</f>
        <v>703.99</v>
      </c>
      <c r="R604" s="46">
        <v>0</v>
      </c>
      <c r="S604" s="117">
        <f t="shared" si="26"/>
        <v>0</v>
      </c>
    </row>
    <row r="605" spans="1:19" ht="34.5" customHeight="1">
      <c r="A605" s="1" t="s">
        <v>343</v>
      </c>
      <c r="B605" s="8" t="s">
        <v>76</v>
      </c>
      <c r="C605" s="29" t="s">
        <v>218</v>
      </c>
      <c r="D605" s="8" t="s">
        <v>85</v>
      </c>
      <c r="E605" s="8" t="s">
        <v>317</v>
      </c>
      <c r="F605" s="46"/>
      <c r="G605" s="10"/>
      <c r="H605" s="46"/>
      <c r="I605" s="10"/>
      <c r="J605" s="46"/>
      <c r="K605" s="10" t="s">
        <v>618</v>
      </c>
      <c r="L605" s="46">
        <f>J605+K605</f>
        <v>0.01</v>
      </c>
      <c r="M605" s="10" t="s">
        <v>376</v>
      </c>
      <c r="N605" s="46">
        <f>L605+M605</f>
        <v>0.01</v>
      </c>
      <c r="O605" s="10"/>
      <c r="P605" s="46">
        <f>N605+O605</f>
        <v>0.01</v>
      </c>
      <c r="R605" s="46">
        <f>P605+Q605</f>
        <v>0.01</v>
      </c>
      <c r="S605" s="117">
        <f t="shared" si="26"/>
        <v>100</v>
      </c>
    </row>
    <row r="606" spans="1:19" ht="15.75">
      <c r="A606" s="1" t="s">
        <v>307</v>
      </c>
      <c r="B606" s="8" t="s">
        <v>76</v>
      </c>
      <c r="C606" s="8" t="s">
        <v>218</v>
      </c>
      <c r="D606" s="8" t="s">
        <v>78</v>
      </c>
      <c r="E606" s="8"/>
      <c r="F606" s="45">
        <f>F607+F611+F613+F618</f>
        <v>0</v>
      </c>
      <c r="G606" s="8"/>
      <c r="H606" s="45">
        <f>H607+H611+H613+H618</f>
        <v>1508000</v>
      </c>
      <c r="I606" s="8"/>
      <c r="J606" s="45">
        <f>J607+J611+J613+J618+J609</f>
        <v>3324420</v>
      </c>
      <c r="K606" s="8"/>
      <c r="L606" s="45">
        <f>L607+L611+L613+L618+L609</f>
        <v>3324925.5</v>
      </c>
      <c r="M606" s="8"/>
      <c r="N606" s="45">
        <f>N607+N611+N613+N618+N609</f>
        <v>3319428.57</v>
      </c>
      <c r="O606" s="8"/>
      <c r="P606" s="45">
        <f>P607+P611+P613+P618+P609</f>
        <v>3261428.57</v>
      </c>
      <c r="R606" s="45">
        <f>R607+R611+R613+R618+R609</f>
        <v>286963</v>
      </c>
      <c r="S606" s="117">
        <f t="shared" si="26"/>
        <v>8.798690323608712</v>
      </c>
    </row>
    <row r="607" spans="1:19" ht="15.75">
      <c r="A607" s="18" t="s">
        <v>751</v>
      </c>
      <c r="B607" s="8" t="s">
        <v>76</v>
      </c>
      <c r="C607" s="8" t="s">
        <v>218</v>
      </c>
      <c r="D607" s="8" t="s">
        <v>256</v>
      </c>
      <c r="E607" s="8"/>
      <c r="F607" s="45">
        <f>F608</f>
        <v>0</v>
      </c>
      <c r="G607" s="8"/>
      <c r="H607" s="45">
        <f>H608</f>
        <v>600000</v>
      </c>
      <c r="I607" s="8"/>
      <c r="J607" s="45">
        <f>J608</f>
        <v>600000</v>
      </c>
      <c r="K607" s="8"/>
      <c r="L607" s="45">
        <f>L608</f>
        <v>600000</v>
      </c>
      <c r="M607" s="8"/>
      <c r="N607" s="45">
        <f>N608</f>
        <v>600000</v>
      </c>
      <c r="O607" s="8"/>
      <c r="P607" s="45">
        <f>P608</f>
        <v>600000</v>
      </c>
      <c r="R607" s="45">
        <f>R608</f>
        <v>227126</v>
      </c>
      <c r="S607" s="117">
        <f t="shared" si="26"/>
        <v>37.85433333333334</v>
      </c>
    </row>
    <row r="608" spans="1:19" ht="16.5" customHeight="1">
      <c r="A608" s="1" t="s">
        <v>327</v>
      </c>
      <c r="B608" s="8" t="s">
        <v>76</v>
      </c>
      <c r="C608" s="8" t="s">
        <v>218</v>
      </c>
      <c r="D608" s="8" t="s">
        <v>256</v>
      </c>
      <c r="E608" s="8" t="s">
        <v>326</v>
      </c>
      <c r="F608" s="46">
        <v>0</v>
      </c>
      <c r="G608" s="8" t="s">
        <v>502</v>
      </c>
      <c r="H608" s="46">
        <f>F608+G608</f>
        <v>600000</v>
      </c>
      <c r="I608" s="8" t="s">
        <v>376</v>
      </c>
      <c r="J608" s="46">
        <f>H608+I608</f>
        <v>600000</v>
      </c>
      <c r="K608" s="8"/>
      <c r="L608" s="46">
        <f>J608+K608</f>
        <v>600000</v>
      </c>
      <c r="M608" s="8"/>
      <c r="N608" s="46">
        <f>L608+M608</f>
        <v>600000</v>
      </c>
      <c r="O608" s="8"/>
      <c r="P608" s="46">
        <f>N608+O608</f>
        <v>600000</v>
      </c>
      <c r="R608" s="46">
        <v>227126</v>
      </c>
      <c r="S608" s="117">
        <f t="shared" si="26"/>
        <v>37.85433333333334</v>
      </c>
    </row>
    <row r="609" spans="1:19" ht="51" customHeight="1">
      <c r="A609" s="1" t="s">
        <v>752</v>
      </c>
      <c r="B609" s="10" t="s">
        <v>76</v>
      </c>
      <c r="C609" s="10" t="s">
        <v>218</v>
      </c>
      <c r="D609" s="10" t="s">
        <v>257</v>
      </c>
      <c r="E609" s="10"/>
      <c r="F609" s="46"/>
      <c r="G609" s="8"/>
      <c r="H609" s="46"/>
      <c r="I609" s="8"/>
      <c r="J609" s="46">
        <f>J610</f>
        <v>42420</v>
      </c>
      <c r="K609" s="8"/>
      <c r="L609" s="46">
        <f>L610</f>
        <v>42925.5</v>
      </c>
      <c r="M609" s="8"/>
      <c r="N609" s="46">
        <f>N610</f>
        <v>37428.57</v>
      </c>
      <c r="O609" s="8"/>
      <c r="P609" s="46">
        <f>P610</f>
        <v>37428.57</v>
      </c>
      <c r="R609" s="46">
        <f>R610</f>
        <v>0</v>
      </c>
      <c r="S609" s="117">
        <f t="shared" si="26"/>
        <v>0</v>
      </c>
    </row>
    <row r="610" spans="1:19" ht="52.5" customHeight="1">
      <c r="A610" s="18" t="s">
        <v>320</v>
      </c>
      <c r="B610" s="10" t="s">
        <v>76</v>
      </c>
      <c r="C610" s="10" t="s">
        <v>218</v>
      </c>
      <c r="D610" s="10" t="s">
        <v>257</v>
      </c>
      <c r="E610" s="10" t="s">
        <v>315</v>
      </c>
      <c r="F610" s="46"/>
      <c r="G610" s="8"/>
      <c r="H610" s="46"/>
      <c r="I610" s="8" t="s">
        <v>479</v>
      </c>
      <c r="J610" s="46">
        <f>H610+I610</f>
        <v>42420</v>
      </c>
      <c r="K610" s="8" t="s">
        <v>646</v>
      </c>
      <c r="L610" s="46">
        <f>J610+K610</f>
        <v>42925.5</v>
      </c>
      <c r="M610" s="8" t="s">
        <v>700</v>
      </c>
      <c r="N610" s="46">
        <f>L610+M610</f>
        <v>37428.57</v>
      </c>
      <c r="O610" s="8"/>
      <c r="P610" s="46">
        <f>N610+O610</f>
        <v>37428.57</v>
      </c>
      <c r="R610" s="46">
        <v>0</v>
      </c>
      <c r="S610" s="117">
        <f t="shared" si="26"/>
        <v>0</v>
      </c>
    </row>
    <row r="611" spans="1:19" ht="113.25" customHeight="1" hidden="1">
      <c r="A611" s="75" t="s">
        <v>478</v>
      </c>
      <c r="B611" s="78" t="s">
        <v>76</v>
      </c>
      <c r="C611" s="8" t="s">
        <v>218</v>
      </c>
      <c r="D611" s="8" t="s">
        <v>575</v>
      </c>
      <c r="E611" s="8"/>
      <c r="F611" s="45">
        <f>F612</f>
        <v>0</v>
      </c>
      <c r="G611" s="8"/>
      <c r="H611" s="45">
        <f>H612</f>
        <v>58000</v>
      </c>
      <c r="I611" s="8"/>
      <c r="J611" s="45">
        <f>J612</f>
        <v>58000</v>
      </c>
      <c r="K611" s="8"/>
      <c r="L611" s="45">
        <f>L612</f>
        <v>58000</v>
      </c>
      <c r="M611" s="8"/>
      <c r="N611" s="45">
        <f>N612</f>
        <v>58000</v>
      </c>
      <c r="O611" s="8"/>
      <c r="P611" s="45">
        <f>P612</f>
        <v>0</v>
      </c>
      <c r="R611" s="45">
        <f>R612</f>
        <v>0</v>
      </c>
      <c r="S611" s="117">
        <v>0</v>
      </c>
    </row>
    <row r="612" spans="1:19" ht="15.75" hidden="1">
      <c r="A612" s="1" t="s">
        <v>327</v>
      </c>
      <c r="B612" s="8" t="s">
        <v>76</v>
      </c>
      <c r="C612" s="8" t="s">
        <v>218</v>
      </c>
      <c r="D612" s="8" t="s">
        <v>575</v>
      </c>
      <c r="E612" s="8" t="s">
        <v>326</v>
      </c>
      <c r="F612" s="46">
        <v>0</v>
      </c>
      <c r="G612" s="8" t="s">
        <v>503</v>
      </c>
      <c r="H612" s="46">
        <f>F612+G612</f>
        <v>58000</v>
      </c>
      <c r="I612" s="8" t="s">
        <v>376</v>
      </c>
      <c r="J612" s="46">
        <f>H612+I612</f>
        <v>58000</v>
      </c>
      <c r="K612" s="8"/>
      <c r="L612" s="46">
        <f>J612+K612</f>
        <v>58000</v>
      </c>
      <c r="M612" s="8"/>
      <c r="N612" s="46">
        <f>L612+M612</f>
        <v>58000</v>
      </c>
      <c r="O612" s="8" t="s">
        <v>727</v>
      </c>
      <c r="P612" s="46">
        <f>N612+O612</f>
        <v>0</v>
      </c>
      <c r="R612" s="46">
        <f>P612+Q612</f>
        <v>0</v>
      </c>
      <c r="S612" s="117">
        <v>0</v>
      </c>
    </row>
    <row r="613" spans="1:19" ht="66.75" customHeight="1">
      <c r="A613" s="18" t="s">
        <v>753</v>
      </c>
      <c r="B613" s="8" t="s">
        <v>76</v>
      </c>
      <c r="C613" s="8" t="s">
        <v>218</v>
      </c>
      <c r="D613" s="8" t="s">
        <v>277</v>
      </c>
      <c r="E613" s="8"/>
      <c r="F613" s="45">
        <f>F614+F615</f>
        <v>0</v>
      </c>
      <c r="G613" s="8"/>
      <c r="H613" s="45">
        <f>H614+H615</f>
        <v>850000</v>
      </c>
      <c r="I613" s="8"/>
      <c r="J613" s="45">
        <f>J614+J615</f>
        <v>2624000</v>
      </c>
      <c r="K613" s="8"/>
      <c r="L613" s="45">
        <f>L614+L615</f>
        <v>2624000</v>
      </c>
      <c r="M613" s="8"/>
      <c r="N613" s="45">
        <f>N614+N615</f>
        <v>2624000</v>
      </c>
      <c r="O613" s="8"/>
      <c r="P613" s="45">
        <f>P614+P615</f>
        <v>2624000</v>
      </c>
      <c r="R613" s="45">
        <f>R614+R615</f>
        <v>59837</v>
      </c>
      <c r="S613" s="117">
        <f t="shared" si="26"/>
        <v>2.280373475609756</v>
      </c>
    </row>
    <row r="614" spans="1:19" ht="50.25" customHeight="1">
      <c r="A614" s="1" t="s">
        <v>366</v>
      </c>
      <c r="B614" s="8" t="s">
        <v>76</v>
      </c>
      <c r="C614" s="8" t="s">
        <v>218</v>
      </c>
      <c r="D614" s="8" t="s">
        <v>277</v>
      </c>
      <c r="E614" s="8" t="s">
        <v>325</v>
      </c>
      <c r="F614" s="46">
        <v>0</v>
      </c>
      <c r="G614" s="8" t="s">
        <v>557</v>
      </c>
      <c r="H614" s="46">
        <v>300000</v>
      </c>
      <c r="I614" s="8" t="s">
        <v>558</v>
      </c>
      <c r="J614" s="46">
        <f>H614+I614</f>
        <v>2044000</v>
      </c>
      <c r="K614" s="8"/>
      <c r="L614" s="46">
        <f>J614+K614</f>
        <v>2044000</v>
      </c>
      <c r="M614" s="8"/>
      <c r="N614" s="46">
        <f>L614+M614</f>
        <v>2044000</v>
      </c>
      <c r="O614" s="8"/>
      <c r="P614" s="46">
        <f>N614+O614</f>
        <v>2044000</v>
      </c>
      <c r="R614" s="46">
        <v>0</v>
      </c>
      <c r="S614" s="117">
        <f t="shared" si="26"/>
        <v>0</v>
      </c>
    </row>
    <row r="615" spans="1:19" ht="16.5" customHeight="1">
      <c r="A615" s="1" t="s">
        <v>327</v>
      </c>
      <c r="B615" s="8" t="s">
        <v>76</v>
      </c>
      <c r="C615" s="8" t="s">
        <v>218</v>
      </c>
      <c r="D615" s="8" t="s">
        <v>277</v>
      </c>
      <c r="E615" s="8" t="s">
        <v>326</v>
      </c>
      <c r="F615" s="46">
        <v>0</v>
      </c>
      <c r="G615" s="8" t="s">
        <v>501</v>
      </c>
      <c r="H615" s="46">
        <f>F615+G615</f>
        <v>550000</v>
      </c>
      <c r="I615" s="8" t="s">
        <v>504</v>
      </c>
      <c r="J615" s="46">
        <f>H615+I615</f>
        <v>580000</v>
      </c>
      <c r="K615" s="8"/>
      <c r="L615" s="46">
        <f>J615+K615</f>
        <v>580000</v>
      </c>
      <c r="M615" s="8"/>
      <c r="N615" s="46">
        <f>L615+M615</f>
        <v>580000</v>
      </c>
      <c r="O615" s="8"/>
      <c r="P615" s="46">
        <f>N615+O615</f>
        <v>580000</v>
      </c>
      <c r="R615" s="46">
        <v>59837</v>
      </c>
      <c r="S615" s="117">
        <f t="shared" si="26"/>
        <v>10.316724137931034</v>
      </c>
    </row>
    <row r="616" spans="1:19" ht="33.75" customHeight="1">
      <c r="A616" s="1" t="s">
        <v>659</v>
      </c>
      <c r="B616" s="8" t="s">
        <v>76</v>
      </c>
      <c r="C616" s="8" t="s">
        <v>218</v>
      </c>
      <c r="D616" s="8" t="s">
        <v>283</v>
      </c>
      <c r="E616" s="8"/>
      <c r="F616" s="46"/>
      <c r="G616" s="8"/>
      <c r="H616" s="46"/>
      <c r="I616" s="8"/>
      <c r="J616" s="46"/>
      <c r="K616" s="8"/>
      <c r="L616" s="46"/>
      <c r="M616" s="8"/>
      <c r="N616" s="46">
        <f>N617</f>
        <v>7720000</v>
      </c>
      <c r="O616" s="8"/>
      <c r="P616" s="46">
        <f>P617</f>
        <v>7720000</v>
      </c>
      <c r="R616" s="46">
        <f>R617</f>
        <v>0</v>
      </c>
      <c r="S616" s="117">
        <f t="shared" si="26"/>
        <v>0</v>
      </c>
    </row>
    <row r="617" spans="1:19" ht="98.25" customHeight="1">
      <c r="A617" s="18" t="s">
        <v>282</v>
      </c>
      <c r="B617" s="8" t="s">
        <v>76</v>
      </c>
      <c r="C617" s="8" t="s">
        <v>218</v>
      </c>
      <c r="D617" s="8" t="s">
        <v>283</v>
      </c>
      <c r="E617" s="8" t="s">
        <v>325</v>
      </c>
      <c r="F617" s="46"/>
      <c r="G617" s="8"/>
      <c r="H617" s="46"/>
      <c r="I617" s="8"/>
      <c r="J617" s="46"/>
      <c r="K617" s="8"/>
      <c r="L617" s="46"/>
      <c r="M617" s="8" t="s">
        <v>660</v>
      </c>
      <c r="N617" s="46">
        <f>L617+M617</f>
        <v>7720000</v>
      </c>
      <c r="O617" s="8"/>
      <c r="P617" s="46">
        <f>N617+O617</f>
        <v>7720000</v>
      </c>
      <c r="R617" s="46">
        <v>0</v>
      </c>
      <c r="S617" s="117">
        <f t="shared" si="26"/>
        <v>0</v>
      </c>
    </row>
    <row r="618" spans="1:19" ht="1.5" customHeight="1" hidden="1">
      <c r="A618" s="18" t="s">
        <v>278</v>
      </c>
      <c r="B618" s="8" t="s">
        <v>76</v>
      </c>
      <c r="C618" s="8" t="s">
        <v>218</v>
      </c>
      <c r="D618" s="8" t="s">
        <v>279</v>
      </c>
      <c r="E618" s="8"/>
      <c r="F618" s="45">
        <f>F619</f>
        <v>0</v>
      </c>
      <c r="G618" s="8"/>
      <c r="H618" s="45">
        <f>H619</f>
        <v>0</v>
      </c>
      <c r="I618" s="8"/>
      <c r="J618" s="45">
        <f>J619</f>
        <v>0</v>
      </c>
      <c r="K618" s="8"/>
      <c r="L618" s="45">
        <f>L619</f>
        <v>0</v>
      </c>
      <c r="M618" s="8"/>
      <c r="N618" s="45">
        <f>N619</f>
        <v>0</v>
      </c>
      <c r="O618" s="8"/>
      <c r="P618" s="45">
        <f>P619</f>
        <v>0</v>
      </c>
      <c r="R618" s="45">
        <f>R619</f>
        <v>0</v>
      </c>
      <c r="S618" s="117" t="e">
        <f t="shared" si="26"/>
        <v>#DIV/0!</v>
      </c>
    </row>
    <row r="619" spans="1:19" ht="21" customHeight="1" hidden="1">
      <c r="A619" s="1" t="s">
        <v>327</v>
      </c>
      <c r="B619" s="8" t="s">
        <v>76</v>
      </c>
      <c r="C619" s="8" t="s">
        <v>218</v>
      </c>
      <c r="D619" s="8" t="s">
        <v>279</v>
      </c>
      <c r="E619" s="8" t="s">
        <v>326</v>
      </c>
      <c r="F619" s="46">
        <v>0</v>
      </c>
      <c r="G619" s="8"/>
      <c r="H619" s="46">
        <f>F619+G619</f>
        <v>0</v>
      </c>
      <c r="I619" s="8"/>
      <c r="J619" s="46">
        <f>H619+I619</f>
        <v>0</v>
      </c>
      <c r="K619" s="8"/>
      <c r="L619" s="46">
        <f>J619+K619</f>
        <v>0</v>
      </c>
      <c r="M619" s="8"/>
      <c r="N619" s="46">
        <f>L619+M619</f>
        <v>0</v>
      </c>
      <c r="O619" s="8"/>
      <c r="P619" s="46">
        <f>N619+O619</f>
        <v>0</v>
      </c>
      <c r="R619" s="46">
        <f>P619+Q619</f>
        <v>0</v>
      </c>
      <c r="S619" s="117" t="e">
        <f t="shared" si="26"/>
        <v>#DIV/0!</v>
      </c>
    </row>
    <row r="620" spans="1:19" ht="31.5">
      <c r="A620" s="22" t="s">
        <v>243</v>
      </c>
      <c r="B620" s="16" t="s">
        <v>176</v>
      </c>
      <c r="C620" s="10"/>
      <c r="D620" s="10"/>
      <c r="E620" s="10"/>
      <c r="F620" s="42">
        <f>F621+F643</f>
        <v>0</v>
      </c>
      <c r="G620" s="10"/>
      <c r="H620" s="42">
        <f>H621+H643</f>
        <v>3367900</v>
      </c>
      <c r="I620" s="10"/>
      <c r="J620" s="42">
        <f>J621+J643</f>
        <v>3717900</v>
      </c>
      <c r="K620" s="10"/>
      <c r="L620" s="42">
        <f>L621+L643</f>
        <v>3502384</v>
      </c>
      <c r="M620" s="10"/>
      <c r="N620" s="42">
        <f>N621+N643</f>
        <v>3502384</v>
      </c>
      <c r="O620" s="10"/>
      <c r="P620" s="42">
        <f>P621+P643</f>
        <v>3502384</v>
      </c>
      <c r="R620" s="42">
        <f>R621+R643</f>
        <v>1619500.26</v>
      </c>
      <c r="S620" s="118">
        <f t="shared" si="26"/>
        <v>46.239939995157584</v>
      </c>
    </row>
    <row r="621" spans="1:19" ht="15.75">
      <c r="A621" s="1" t="s">
        <v>136</v>
      </c>
      <c r="B621" s="10" t="s">
        <v>176</v>
      </c>
      <c r="C621" s="10" t="s">
        <v>6</v>
      </c>
      <c r="D621" s="10"/>
      <c r="E621" s="10"/>
      <c r="F621" s="45">
        <f>F622+F627</f>
        <v>0</v>
      </c>
      <c r="G621" s="10"/>
      <c r="H621" s="45">
        <f>H622+H627+H639</f>
        <v>2842800</v>
      </c>
      <c r="I621" s="10"/>
      <c r="J621" s="45">
        <f>J622+J627+J639+J641</f>
        <v>3192800</v>
      </c>
      <c r="K621" s="10"/>
      <c r="L621" s="45">
        <f>L622+L627+L639+L641</f>
        <v>2977284</v>
      </c>
      <c r="M621" s="10"/>
      <c r="N621" s="45">
        <f>N622+N627+N639+N641</f>
        <v>2977284</v>
      </c>
      <c r="O621" s="10"/>
      <c r="P621" s="45">
        <f>P622+P627+P639+P641</f>
        <v>2977284</v>
      </c>
      <c r="R621" s="45">
        <f>R622+R627+R639+R641</f>
        <v>1443198.49</v>
      </c>
      <c r="S621" s="117">
        <f t="shared" si="26"/>
        <v>48.473658878360276</v>
      </c>
    </row>
    <row r="622" spans="1:19" ht="47.25">
      <c r="A622" s="1" t="s">
        <v>79</v>
      </c>
      <c r="B622" s="10" t="s">
        <v>176</v>
      </c>
      <c r="C622" s="10" t="s">
        <v>7</v>
      </c>
      <c r="D622" s="10"/>
      <c r="E622" s="10"/>
      <c r="F622" s="45">
        <f>F623</f>
        <v>0</v>
      </c>
      <c r="G622" s="10"/>
      <c r="H622" s="45">
        <f>H623</f>
        <v>1211025</v>
      </c>
      <c r="I622" s="10"/>
      <c r="J622" s="45">
        <f>J623</f>
        <v>1211025</v>
      </c>
      <c r="K622" s="10"/>
      <c r="L622" s="45">
        <f>L623</f>
        <v>1211025</v>
      </c>
      <c r="M622" s="10"/>
      <c r="N622" s="45">
        <f>N623</f>
        <v>1211025</v>
      </c>
      <c r="O622" s="10"/>
      <c r="P622" s="45">
        <f>P623</f>
        <v>1211025</v>
      </c>
      <c r="R622" s="45">
        <f>R623</f>
        <v>500299.21</v>
      </c>
      <c r="S622" s="117">
        <f t="shared" si="26"/>
        <v>41.3120464069693</v>
      </c>
    </row>
    <row r="623" spans="1:19" ht="67.5" customHeight="1">
      <c r="A623" s="1" t="s">
        <v>80</v>
      </c>
      <c r="B623" s="10" t="s">
        <v>176</v>
      </c>
      <c r="C623" s="10" t="s">
        <v>7</v>
      </c>
      <c r="D623" s="10" t="s">
        <v>81</v>
      </c>
      <c r="E623" s="10"/>
      <c r="F623" s="45">
        <f>F624</f>
        <v>0</v>
      </c>
      <c r="G623" s="10"/>
      <c r="H623" s="45">
        <f>H624</f>
        <v>1211025</v>
      </c>
      <c r="I623" s="10"/>
      <c r="J623" s="45">
        <f>J624</f>
        <v>1211025</v>
      </c>
      <c r="K623" s="10"/>
      <c r="L623" s="45">
        <f>L624</f>
        <v>1211025</v>
      </c>
      <c r="M623" s="10"/>
      <c r="N623" s="45">
        <f>N624</f>
        <v>1211025</v>
      </c>
      <c r="O623" s="10"/>
      <c r="P623" s="45">
        <f>P624</f>
        <v>1211025</v>
      </c>
      <c r="R623" s="45">
        <f>R624</f>
        <v>500299.21</v>
      </c>
      <c r="S623" s="117">
        <f t="shared" si="26"/>
        <v>41.3120464069693</v>
      </c>
    </row>
    <row r="624" spans="1:19" ht="18" customHeight="1">
      <c r="A624" s="1" t="s">
        <v>82</v>
      </c>
      <c r="B624" s="10" t="s">
        <v>176</v>
      </c>
      <c r="C624" s="10" t="s">
        <v>7</v>
      </c>
      <c r="D624" s="10" t="s">
        <v>83</v>
      </c>
      <c r="E624" s="10"/>
      <c r="F624" s="46">
        <f>F625+F626</f>
        <v>0</v>
      </c>
      <c r="G624" s="10"/>
      <c r="H624" s="46">
        <f>H625+H626</f>
        <v>1211025</v>
      </c>
      <c r="I624" s="10"/>
      <c r="J624" s="46">
        <f>J625+J626</f>
        <v>1211025</v>
      </c>
      <c r="K624" s="10"/>
      <c r="L624" s="46">
        <f>L625+L626</f>
        <v>1211025</v>
      </c>
      <c r="M624" s="10"/>
      <c r="N624" s="46">
        <f>N625+N626</f>
        <v>1211025</v>
      </c>
      <c r="O624" s="10"/>
      <c r="P624" s="46">
        <f>P625+P626</f>
        <v>1211025</v>
      </c>
      <c r="R624" s="46">
        <f>R625+R626</f>
        <v>500299.21</v>
      </c>
      <c r="S624" s="117">
        <f t="shared" si="26"/>
        <v>41.3120464069693</v>
      </c>
    </row>
    <row r="625" spans="1:19" ht="15.75">
      <c r="A625" s="1" t="s">
        <v>318</v>
      </c>
      <c r="B625" s="10" t="s">
        <v>176</v>
      </c>
      <c r="C625" s="10" t="s">
        <v>7</v>
      </c>
      <c r="D625" s="10" t="s">
        <v>83</v>
      </c>
      <c r="E625" s="10" t="s">
        <v>342</v>
      </c>
      <c r="F625" s="46">
        <v>0</v>
      </c>
      <c r="G625" s="10" t="s">
        <v>463</v>
      </c>
      <c r="H625" s="46">
        <f>F625+G625</f>
        <v>1169925</v>
      </c>
      <c r="I625" s="10" t="s">
        <v>376</v>
      </c>
      <c r="J625" s="46">
        <f>H625+I625</f>
        <v>1169925</v>
      </c>
      <c r="K625" s="10"/>
      <c r="L625" s="46">
        <f>J625+K625</f>
        <v>1169925</v>
      </c>
      <c r="M625" s="10"/>
      <c r="N625" s="46">
        <f>L625+M625</f>
        <v>1169925</v>
      </c>
      <c r="O625" s="10"/>
      <c r="P625" s="46">
        <f>N625+O625</f>
        <v>1169925</v>
      </c>
      <c r="R625" s="46">
        <v>500299.21</v>
      </c>
      <c r="S625" s="117">
        <f t="shared" si="26"/>
        <v>42.76335748018035</v>
      </c>
    </row>
    <row r="626" spans="1:19" ht="31.5">
      <c r="A626" s="1" t="s">
        <v>319</v>
      </c>
      <c r="B626" s="10" t="s">
        <v>176</v>
      </c>
      <c r="C626" s="10" t="s">
        <v>7</v>
      </c>
      <c r="D626" s="10" t="s">
        <v>83</v>
      </c>
      <c r="E626" s="10" t="s">
        <v>348</v>
      </c>
      <c r="F626" s="46">
        <v>0</v>
      </c>
      <c r="G626" s="10" t="s">
        <v>464</v>
      </c>
      <c r="H626" s="46">
        <f>F626+G626</f>
        <v>41100</v>
      </c>
      <c r="I626" s="10" t="s">
        <v>376</v>
      </c>
      <c r="J626" s="46">
        <f>H626+I626</f>
        <v>41100</v>
      </c>
      <c r="K626" s="10"/>
      <c r="L626" s="46">
        <f>J626+K626</f>
        <v>41100</v>
      </c>
      <c r="M626" s="10"/>
      <c r="N626" s="46">
        <f>L626+M626</f>
        <v>41100</v>
      </c>
      <c r="O626" s="10"/>
      <c r="P626" s="46">
        <f>N626+O626</f>
        <v>41100</v>
      </c>
      <c r="R626" s="46">
        <v>0</v>
      </c>
      <c r="S626" s="117">
        <f t="shared" si="26"/>
        <v>0</v>
      </c>
    </row>
    <row r="627" spans="1:19" ht="65.25" customHeight="1">
      <c r="A627" s="1" t="s">
        <v>84</v>
      </c>
      <c r="B627" s="10" t="s">
        <v>176</v>
      </c>
      <c r="C627" s="10" t="s">
        <v>9</v>
      </c>
      <c r="D627" s="10"/>
      <c r="E627" s="10"/>
      <c r="F627" s="45">
        <f>F628+F637</f>
        <v>0</v>
      </c>
      <c r="G627" s="10"/>
      <c r="H627" s="45">
        <f>H628+H637</f>
        <v>1631775</v>
      </c>
      <c r="I627" s="10"/>
      <c r="J627" s="45">
        <f>J628+J637</f>
        <v>1631775</v>
      </c>
      <c r="K627" s="10"/>
      <c r="L627" s="45">
        <f>L628+L637</f>
        <v>1416259</v>
      </c>
      <c r="M627" s="10"/>
      <c r="N627" s="45">
        <f>N628+N637</f>
        <v>1416259</v>
      </c>
      <c r="O627" s="10"/>
      <c r="P627" s="45">
        <f>P628+P637</f>
        <v>1407523.6</v>
      </c>
      <c r="R627" s="45">
        <f>R628+R637</f>
        <v>592899.3</v>
      </c>
      <c r="S627" s="117">
        <f t="shared" si="26"/>
        <v>42.12357789240621</v>
      </c>
    </row>
    <row r="628" spans="1:19" ht="18.75" customHeight="1">
      <c r="A628" s="1" t="s">
        <v>80</v>
      </c>
      <c r="B628" s="10" t="s">
        <v>176</v>
      </c>
      <c r="C628" s="10" t="s">
        <v>9</v>
      </c>
      <c r="D628" s="10" t="s">
        <v>81</v>
      </c>
      <c r="E628" s="10"/>
      <c r="F628" s="45">
        <f>F629</f>
        <v>0</v>
      </c>
      <c r="G628" s="10"/>
      <c r="H628" s="45">
        <f>H629</f>
        <v>1618775</v>
      </c>
      <c r="I628" s="10"/>
      <c r="J628" s="45">
        <f>J629</f>
        <v>1618775</v>
      </c>
      <c r="K628" s="10"/>
      <c r="L628" s="45">
        <f>L629</f>
        <v>1403259</v>
      </c>
      <c r="M628" s="10"/>
      <c r="N628" s="45">
        <f>N629</f>
        <v>1403259</v>
      </c>
      <c r="O628" s="10"/>
      <c r="P628" s="45">
        <f>P629</f>
        <v>1394523.6</v>
      </c>
      <c r="R628" s="45">
        <f>R629</f>
        <v>592899.3</v>
      </c>
      <c r="S628" s="117">
        <f t="shared" si="26"/>
        <v>42.516261467357026</v>
      </c>
    </row>
    <row r="629" spans="1:19" ht="15.75">
      <c r="A629" s="1" t="s">
        <v>138</v>
      </c>
      <c r="B629" s="10" t="s">
        <v>176</v>
      </c>
      <c r="C629" s="10" t="s">
        <v>9</v>
      </c>
      <c r="D629" s="10" t="s">
        <v>85</v>
      </c>
      <c r="E629" s="10"/>
      <c r="F629" s="46">
        <f>F632+F633+F634+F635+F630+F631</f>
        <v>0</v>
      </c>
      <c r="G629" s="10"/>
      <c r="H629" s="46">
        <f>H632+H633+H634+H635+H630+H631</f>
        <v>1618775</v>
      </c>
      <c r="I629" s="10"/>
      <c r="J629" s="46">
        <f>J632+J633+J634+J635+J630+J631</f>
        <v>1618775</v>
      </c>
      <c r="K629" s="10"/>
      <c r="L629" s="46">
        <f>L632+L633+L634+L635+L630+L631</f>
        <v>1403259</v>
      </c>
      <c r="M629" s="10"/>
      <c r="N629" s="46">
        <f>N632+N633+N634+N635+N630+N631+N636</f>
        <v>1403259</v>
      </c>
      <c r="O629" s="10"/>
      <c r="P629" s="46">
        <f>P632+P633+P634+P635+P630+P631+P636</f>
        <v>1394523.6</v>
      </c>
      <c r="R629" s="46">
        <f>R632+R633+R634+R635+R630+R631+R636</f>
        <v>592899.3</v>
      </c>
      <c r="S629" s="117">
        <f t="shared" si="26"/>
        <v>42.516261467357026</v>
      </c>
    </row>
    <row r="630" spans="1:19" ht="15.75">
      <c r="A630" s="1" t="s">
        <v>318</v>
      </c>
      <c r="B630" s="10" t="s">
        <v>176</v>
      </c>
      <c r="C630" s="10" t="s">
        <v>9</v>
      </c>
      <c r="D630" s="10" t="s">
        <v>85</v>
      </c>
      <c r="E630" s="10" t="s">
        <v>313</v>
      </c>
      <c r="F630" s="46">
        <v>0</v>
      </c>
      <c r="G630" s="10" t="s">
        <v>465</v>
      </c>
      <c r="H630" s="46">
        <f aca="true" t="shared" si="27" ref="H630:J635">F630+G630</f>
        <v>141879</v>
      </c>
      <c r="I630" s="10" t="s">
        <v>376</v>
      </c>
      <c r="J630" s="46">
        <f t="shared" si="27"/>
        <v>141879</v>
      </c>
      <c r="K630" s="10"/>
      <c r="L630" s="46">
        <f aca="true" t="shared" si="28" ref="L630:N636">J630+K630</f>
        <v>141879</v>
      </c>
      <c r="M630" s="10" t="s">
        <v>594</v>
      </c>
      <c r="N630" s="46">
        <f t="shared" si="28"/>
        <v>140879</v>
      </c>
      <c r="O630" s="10"/>
      <c r="P630" s="46">
        <f aca="true" t="shared" si="29" ref="P630:P636">N630+O630</f>
        <v>140879</v>
      </c>
      <c r="R630" s="46">
        <v>67361.98</v>
      </c>
      <c r="S630" s="117">
        <f t="shared" si="26"/>
        <v>47.81548704916985</v>
      </c>
    </row>
    <row r="631" spans="1:19" ht="31.5">
      <c r="A631" s="1" t="s">
        <v>319</v>
      </c>
      <c r="B631" s="10" t="s">
        <v>176</v>
      </c>
      <c r="C631" s="10" t="s">
        <v>9</v>
      </c>
      <c r="D631" s="10" t="s">
        <v>85</v>
      </c>
      <c r="E631" s="10" t="s">
        <v>314</v>
      </c>
      <c r="F631" s="46">
        <v>0</v>
      </c>
      <c r="G631" s="10" t="s">
        <v>466</v>
      </c>
      <c r="H631" s="46">
        <f t="shared" si="27"/>
        <v>115</v>
      </c>
      <c r="I631" s="10" t="s">
        <v>376</v>
      </c>
      <c r="J631" s="46">
        <f t="shared" si="27"/>
        <v>115</v>
      </c>
      <c r="K631" s="10"/>
      <c r="L631" s="46">
        <f t="shared" si="28"/>
        <v>115</v>
      </c>
      <c r="M631" s="10"/>
      <c r="N631" s="46">
        <f t="shared" si="28"/>
        <v>115</v>
      </c>
      <c r="O631" s="10"/>
      <c r="P631" s="46">
        <f t="shared" si="29"/>
        <v>115</v>
      </c>
      <c r="R631" s="46">
        <v>0</v>
      </c>
      <c r="S631" s="117">
        <f t="shared" si="26"/>
        <v>0</v>
      </c>
    </row>
    <row r="632" spans="1:19" ht="15.75">
      <c r="A632" s="1" t="s">
        <v>318</v>
      </c>
      <c r="B632" s="10" t="s">
        <v>176</v>
      </c>
      <c r="C632" s="10" t="s">
        <v>9</v>
      </c>
      <c r="D632" s="10" t="s">
        <v>85</v>
      </c>
      <c r="E632" s="10" t="s">
        <v>342</v>
      </c>
      <c r="F632" s="46">
        <v>0</v>
      </c>
      <c r="G632" s="10" t="s">
        <v>467</v>
      </c>
      <c r="H632" s="46">
        <f t="shared" si="27"/>
        <v>1329958</v>
      </c>
      <c r="I632" s="10" t="s">
        <v>376</v>
      </c>
      <c r="J632" s="46">
        <f t="shared" si="27"/>
        <v>1329958</v>
      </c>
      <c r="K632" s="68">
        <f>-150000-215516</f>
        <v>-365516</v>
      </c>
      <c r="L632" s="46">
        <f t="shared" si="28"/>
        <v>964442</v>
      </c>
      <c r="M632" s="68">
        <v>0</v>
      </c>
      <c r="N632" s="46">
        <f t="shared" si="28"/>
        <v>964442</v>
      </c>
      <c r="O632" s="68">
        <v>-8735.4</v>
      </c>
      <c r="P632" s="46">
        <f t="shared" si="29"/>
        <v>955706.6</v>
      </c>
      <c r="R632" s="46">
        <v>337139.09</v>
      </c>
      <c r="S632" s="117">
        <f t="shared" si="26"/>
        <v>35.2764216549305</v>
      </c>
    </row>
    <row r="633" spans="1:19" ht="31.5">
      <c r="A633" s="1" t="s">
        <v>319</v>
      </c>
      <c r="B633" s="10" t="s">
        <v>176</v>
      </c>
      <c r="C633" s="10" t="s">
        <v>9</v>
      </c>
      <c r="D633" s="10" t="s">
        <v>85</v>
      </c>
      <c r="E633" s="10" t="s">
        <v>348</v>
      </c>
      <c r="F633" s="46">
        <v>0</v>
      </c>
      <c r="G633" s="10" t="s">
        <v>468</v>
      </c>
      <c r="H633" s="46">
        <f t="shared" si="27"/>
        <v>10000</v>
      </c>
      <c r="I633" s="10" t="s">
        <v>376</v>
      </c>
      <c r="J633" s="46">
        <f t="shared" si="27"/>
        <v>10000</v>
      </c>
      <c r="K633" s="10"/>
      <c r="L633" s="46">
        <f t="shared" si="28"/>
        <v>10000</v>
      </c>
      <c r="M633" s="10"/>
      <c r="N633" s="46">
        <f t="shared" si="28"/>
        <v>10000</v>
      </c>
      <c r="O633" s="10" t="s">
        <v>733</v>
      </c>
      <c r="P633" s="46">
        <f t="shared" si="29"/>
        <v>16000</v>
      </c>
      <c r="R633" s="46">
        <v>10000</v>
      </c>
      <c r="S633" s="117">
        <f t="shared" si="26"/>
        <v>62.5</v>
      </c>
    </row>
    <row r="634" spans="1:19" ht="47.25">
      <c r="A634" s="1" t="s">
        <v>320</v>
      </c>
      <c r="B634" s="10" t="s">
        <v>176</v>
      </c>
      <c r="C634" s="10" t="s">
        <v>9</v>
      </c>
      <c r="D634" s="10" t="s">
        <v>85</v>
      </c>
      <c r="E634" s="10" t="s">
        <v>315</v>
      </c>
      <c r="F634" s="46">
        <v>0</v>
      </c>
      <c r="G634" s="10" t="s">
        <v>469</v>
      </c>
      <c r="H634" s="46">
        <f t="shared" si="27"/>
        <v>69823</v>
      </c>
      <c r="I634" s="10" t="s">
        <v>376</v>
      </c>
      <c r="J634" s="46">
        <f t="shared" si="27"/>
        <v>69823</v>
      </c>
      <c r="K634" s="10" t="s">
        <v>489</v>
      </c>
      <c r="L634" s="46">
        <f t="shared" si="28"/>
        <v>219823</v>
      </c>
      <c r="M634" s="10" t="s">
        <v>376</v>
      </c>
      <c r="N634" s="46">
        <f t="shared" si="28"/>
        <v>219823</v>
      </c>
      <c r="O634" s="10"/>
      <c r="P634" s="46">
        <f t="shared" si="29"/>
        <v>219823</v>
      </c>
      <c r="R634" s="46">
        <v>172517.48</v>
      </c>
      <c r="S634" s="117">
        <f t="shared" si="26"/>
        <v>78.48017723350151</v>
      </c>
    </row>
    <row r="635" spans="1:19" ht="31.5">
      <c r="A635" s="1" t="s">
        <v>321</v>
      </c>
      <c r="B635" s="10" t="s">
        <v>176</v>
      </c>
      <c r="C635" s="10" t="s">
        <v>9</v>
      </c>
      <c r="D635" s="10" t="s">
        <v>85</v>
      </c>
      <c r="E635" s="10" t="s">
        <v>316</v>
      </c>
      <c r="F635" s="46">
        <v>0</v>
      </c>
      <c r="G635" s="10" t="s">
        <v>470</v>
      </c>
      <c r="H635" s="46">
        <f t="shared" si="27"/>
        <v>67000</v>
      </c>
      <c r="I635" s="10" t="s">
        <v>376</v>
      </c>
      <c r="J635" s="46">
        <f t="shared" si="27"/>
        <v>67000</v>
      </c>
      <c r="K635" s="10"/>
      <c r="L635" s="46">
        <f t="shared" si="28"/>
        <v>67000</v>
      </c>
      <c r="M635" s="10" t="s">
        <v>596</v>
      </c>
      <c r="N635" s="46">
        <f t="shared" si="28"/>
        <v>67400</v>
      </c>
      <c r="O635" s="10" t="s">
        <v>732</v>
      </c>
      <c r="P635" s="46">
        <f t="shared" si="29"/>
        <v>61400</v>
      </c>
      <c r="R635" s="46">
        <v>5411</v>
      </c>
      <c r="S635" s="117">
        <f t="shared" si="26"/>
        <v>8.81270358306189</v>
      </c>
    </row>
    <row r="636" spans="1:19" ht="31.5">
      <c r="A636" s="1" t="s">
        <v>322</v>
      </c>
      <c r="B636" s="10" t="s">
        <v>176</v>
      </c>
      <c r="C636" s="10" t="s">
        <v>9</v>
      </c>
      <c r="D636" s="10" t="s">
        <v>85</v>
      </c>
      <c r="E636" s="10" t="s">
        <v>317</v>
      </c>
      <c r="F636" s="46"/>
      <c r="G636" s="10"/>
      <c r="H636" s="46"/>
      <c r="I636" s="10"/>
      <c r="J636" s="46"/>
      <c r="K636" s="10"/>
      <c r="L636" s="46"/>
      <c r="M636" s="10" t="s">
        <v>526</v>
      </c>
      <c r="N636" s="46">
        <f t="shared" si="28"/>
        <v>600</v>
      </c>
      <c r="O636" s="10"/>
      <c r="P636" s="46">
        <f t="shared" si="29"/>
        <v>600</v>
      </c>
      <c r="R636" s="46">
        <v>469.75</v>
      </c>
      <c r="S636" s="117">
        <f t="shared" si="26"/>
        <v>78.29166666666667</v>
      </c>
    </row>
    <row r="637" spans="1:19" ht="47.25">
      <c r="A637" s="1" t="s">
        <v>451</v>
      </c>
      <c r="B637" s="10" t="s">
        <v>176</v>
      </c>
      <c r="C637" s="10" t="s">
        <v>9</v>
      </c>
      <c r="D637" s="10" t="s">
        <v>302</v>
      </c>
      <c r="E637" s="10"/>
      <c r="F637" s="46">
        <f>F638</f>
        <v>0</v>
      </c>
      <c r="G637" s="10"/>
      <c r="H637" s="46">
        <f>H638</f>
        <v>13000</v>
      </c>
      <c r="I637" s="10"/>
      <c r="J637" s="46">
        <f>J638</f>
        <v>13000</v>
      </c>
      <c r="K637" s="10"/>
      <c r="L637" s="46">
        <f>L638</f>
        <v>13000</v>
      </c>
      <c r="M637" s="10"/>
      <c r="N637" s="46">
        <f>N638</f>
        <v>13000</v>
      </c>
      <c r="O637" s="10"/>
      <c r="P637" s="46">
        <f>P638</f>
        <v>13000</v>
      </c>
      <c r="R637" s="46">
        <f>R638</f>
        <v>0</v>
      </c>
      <c r="S637" s="117">
        <f t="shared" si="26"/>
        <v>0</v>
      </c>
    </row>
    <row r="638" spans="1:19" ht="15.75">
      <c r="A638" s="1" t="s">
        <v>327</v>
      </c>
      <c r="B638" s="10" t="s">
        <v>176</v>
      </c>
      <c r="C638" s="10" t="s">
        <v>9</v>
      </c>
      <c r="D638" s="10" t="s">
        <v>302</v>
      </c>
      <c r="E638" s="10" t="s">
        <v>326</v>
      </c>
      <c r="F638" s="46">
        <v>0</v>
      </c>
      <c r="G638" s="10" t="s">
        <v>460</v>
      </c>
      <c r="H638" s="46">
        <f>F638+G638</f>
        <v>13000</v>
      </c>
      <c r="I638" s="10" t="s">
        <v>376</v>
      </c>
      <c r="J638" s="46">
        <f>H638+I638</f>
        <v>13000</v>
      </c>
      <c r="K638" s="10"/>
      <c r="L638" s="46">
        <f>J638+K638</f>
        <v>13000</v>
      </c>
      <c r="M638" s="10"/>
      <c r="N638" s="46">
        <f>L638+M638</f>
        <v>13000</v>
      </c>
      <c r="O638" s="10"/>
      <c r="P638" s="46">
        <f>N638+O638</f>
        <v>13000</v>
      </c>
      <c r="R638" s="46">
        <v>0</v>
      </c>
      <c r="S638" s="117">
        <f t="shared" si="26"/>
        <v>0</v>
      </c>
    </row>
    <row r="639" spans="1:19" ht="31.5" hidden="1">
      <c r="A639" s="24" t="s">
        <v>168</v>
      </c>
      <c r="B639" s="30" t="s">
        <v>176</v>
      </c>
      <c r="C639" s="39" t="s">
        <v>216</v>
      </c>
      <c r="D639" s="30" t="s">
        <v>169</v>
      </c>
      <c r="E639" s="30"/>
      <c r="F639" s="46"/>
      <c r="G639" s="10"/>
      <c r="H639" s="46">
        <f>H640</f>
        <v>0</v>
      </c>
      <c r="I639" s="10"/>
      <c r="J639" s="46">
        <f>J640</f>
        <v>0</v>
      </c>
      <c r="K639" s="10"/>
      <c r="L639" s="46">
        <f>L640</f>
        <v>0</v>
      </c>
      <c r="M639" s="10"/>
      <c r="N639" s="46">
        <f>N640</f>
        <v>0</v>
      </c>
      <c r="O639" s="10"/>
      <c r="P639" s="46">
        <f>P640</f>
        <v>0</v>
      </c>
      <c r="R639" s="46">
        <f>R640</f>
        <v>0</v>
      </c>
      <c r="S639" s="117" t="e">
        <f t="shared" si="26"/>
        <v>#DIV/0!</v>
      </c>
    </row>
    <row r="640" spans="1:19" ht="31.5" hidden="1">
      <c r="A640" s="1" t="s">
        <v>319</v>
      </c>
      <c r="B640" s="30" t="s">
        <v>176</v>
      </c>
      <c r="C640" s="39" t="s">
        <v>216</v>
      </c>
      <c r="D640" s="30" t="s">
        <v>169</v>
      </c>
      <c r="E640" s="30" t="s">
        <v>348</v>
      </c>
      <c r="F640" s="46"/>
      <c r="G640" s="10" t="s">
        <v>376</v>
      </c>
      <c r="H640" s="46">
        <f>F640+G640</f>
        <v>0</v>
      </c>
      <c r="I640" s="10" t="s">
        <v>376</v>
      </c>
      <c r="J640" s="46">
        <f>H640+I640</f>
        <v>0</v>
      </c>
      <c r="K640" s="10"/>
      <c r="L640" s="46">
        <f>J640+K640</f>
        <v>0</v>
      </c>
      <c r="M640" s="10"/>
      <c r="N640" s="46">
        <f>L640+M640</f>
        <v>0</v>
      </c>
      <c r="O640" s="10"/>
      <c r="P640" s="46">
        <f>N640+O640</f>
        <v>0</v>
      </c>
      <c r="R640" s="46">
        <f>P640+Q640</f>
        <v>0</v>
      </c>
      <c r="S640" s="117" t="e">
        <f t="shared" si="26"/>
        <v>#DIV/0!</v>
      </c>
    </row>
    <row r="641" spans="1:19" ht="31.5">
      <c r="A641" s="1" t="s">
        <v>168</v>
      </c>
      <c r="B641" s="30" t="s">
        <v>176</v>
      </c>
      <c r="C641" s="39" t="s">
        <v>216</v>
      </c>
      <c r="D641" s="30" t="s">
        <v>169</v>
      </c>
      <c r="E641" s="30"/>
      <c r="F641" s="46"/>
      <c r="G641" s="10"/>
      <c r="H641" s="46"/>
      <c r="I641" s="10"/>
      <c r="J641" s="46">
        <f>J642</f>
        <v>350000</v>
      </c>
      <c r="K641" s="10"/>
      <c r="L641" s="46">
        <f>L642</f>
        <v>350000</v>
      </c>
      <c r="M641" s="10"/>
      <c r="N641" s="46">
        <f>N642</f>
        <v>350000</v>
      </c>
      <c r="O641" s="10"/>
      <c r="P641" s="46">
        <f>P642</f>
        <v>358735.4</v>
      </c>
      <c r="R641" s="46">
        <f>R642</f>
        <v>349999.98</v>
      </c>
      <c r="S641" s="117">
        <f t="shared" si="26"/>
        <v>97.56494062197373</v>
      </c>
    </row>
    <row r="642" spans="1:19" ht="31.5">
      <c r="A642" s="1" t="s">
        <v>319</v>
      </c>
      <c r="B642" s="30" t="s">
        <v>176</v>
      </c>
      <c r="C642" s="39" t="s">
        <v>216</v>
      </c>
      <c r="D642" s="30" t="s">
        <v>169</v>
      </c>
      <c r="E642" s="30" t="s">
        <v>348</v>
      </c>
      <c r="F642" s="46"/>
      <c r="G642" s="10"/>
      <c r="H642" s="46"/>
      <c r="I642" s="10" t="s">
        <v>578</v>
      </c>
      <c r="J642" s="46">
        <f>H642+I642</f>
        <v>350000</v>
      </c>
      <c r="K642" s="10"/>
      <c r="L642" s="46">
        <f>J642+K642</f>
        <v>350000</v>
      </c>
      <c r="M642" s="10"/>
      <c r="N642" s="46">
        <f>L642+M642</f>
        <v>350000</v>
      </c>
      <c r="O642" s="10" t="s">
        <v>714</v>
      </c>
      <c r="P642" s="46">
        <f>N642+O642</f>
        <v>358735.4</v>
      </c>
      <c r="R642" s="46">
        <v>349999.98</v>
      </c>
      <c r="S642" s="117">
        <f t="shared" si="26"/>
        <v>97.56494062197373</v>
      </c>
    </row>
    <row r="643" spans="1:19" ht="15.75">
      <c r="A643" s="9" t="s">
        <v>165</v>
      </c>
      <c r="B643" s="8" t="s">
        <v>176</v>
      </c>
      <c r="C643" s="8" t="s">
        <v>77</v>
      </c>
      <c r="D643" s="8"/>
      <c r="E643" s="8"/>
      <c r="F643" s="46">
        <f>F644</f>
        <v>0</v>
      </c>
      <c r="G643" s="8"/>
      <c r="H643" s="46">
        <f>H644</f>
        <v>525100</v>
      </c>
      <c r="I643" s="8"/>
      <c r="J643" s="46">
        <f>J644</f>
        <v>525100</v>
      </c>
      <c r="K643" s="8"/>
      <c r="L643" s="46">
        <f>L644</f>
        <v>525100</v>
      </c>
      <c r="M643" s="8"/>
      <c r="N643" s="46">
        <f>N644</f>
        <v>525100</v>
      </c>
      <c r="O643" s="8"/>
      <c r="P643" s="46">
        <f>P644</f>
        <v>525100</v>
      </c>
      <c r="R643" s="46">
        <f>R644</f>
        <v>176301.77</v>
      </c>
      <c r="S643" s="117">
        <f t="shared" si="26"/>
        <v>33.574894305846506</v>
      </c>
    </row>
    <row r="644" spans="1:19" ht="15.75">
      <c r="A644" s="9" t="s">
        <v>166</v>
      </c>
      <c r="B644" s="8" t="s">
        <v>176</v>
      </c>
      <c r="C644" s="8" t="s">
        <v>125</v>
      </c>
      <c r="D644" s="8"/>
      <c r="E644" s="8"/>
      <c r="F644" s="46">
        <f>F645</f>
        <v>0</v>
      </c>
      <c r="G644" s="8"/>
      <c r="H644" s="46">
        <f>H645</f>
        <v>525100</v>
      </c>
      <c r="I644" s="8"/>
      <c r="J644" s="46">
        <f>J645</f>
        <v>525100</v>
      </c>
      <c r="K644" s="8"/>
      <c r="L644" s="46">
        <f>L645</f>
        <v>525100</v>
      </c>
      <c r="M644" s="8"/>
      <c r="N644" s="46">
        <f>N645</f>
        <v>525100</v>
      </c>
      <c r="O644" s="8"/>
      <c r="P644" s="46">
        <f>P645</f>
        <v>525100</v>
      </c>
      <c r="R644" s="46">
        <f>R645</f>
        <v>176301.77</v>
      </c>
      <c r="S644" s="117">
        <f t="shared" si="26"/>
        <v>33.574894305846506</v>
      </c>
    </row>
    <row r="645" spans="1:19" ht="31.5">
      <c r="A645" s="9" t="s">
        <v>126</v>
      </c>
      <c r="B645" s="8" t="s">
        <v>176</v>
      </c>
      <c r="C645" s="8" t="s">
        <v>125</v>
      </c>
      <c r="D645" s="8" t="s">
        <v>127</v>
      </c>
      <c r="E645" s="8"/>
      <c r="F645" s="46">
        <f>F646</f>
        <v>0</v>
      </c>
      <c r="G645" s="8"/>
      <c r="H645" s="46">
        <f>H646</f>
        <v>525100</v>
      </c>
      <c r="I645" s="8"/>
      <c r="J645" s="46">
        <f>J646</f>
        <v>525100</v>
      </c>
      <c r="K645" s="8"/>
      <c r="L645" s="46">
        <f>L646</f>
        <v>525100</v>
      </c>
      <c r="M645" s="8"/>
      <c r="N645" s="46">
        <f>N646</f>
        <v>525100</v>
      </c>
      <c r="O645" s="8"/>
      <c r="P645" s="46">
        <f>P646</f>
        <v>525100</v>
      </c>
      <c r="R645" s="46">
        <f>R646</f>
        <v>176301.77</v>
      </c>
      <c r="S645" s="117">
        <f t="shared" si="26"/>
        <v>33.574894305846506</v>
      </c>
    </row>
    <row r="646" spans="1:19" ht="47.25">
      <c r="A646" s="9" t="s">
        <v>128</v>
      </c>
      <c r="B646" s="8" t="s">
        <v>176</v>
      </c>
      <c r="C646" s="8" t="s">
        <v>125</v>
      </c>
      <c r="D646" s="8" t="s">
        <v>129</v>
      </c>
      <c r="E646" s="8"/>
      <c r="F646" s="46">
        <f>F647</f>
        <v>0</v>
      </c>
      <c r="G646" s="8"/>
      <c r="H646" s="46">
        <f>H647</f>
        <v>525100</v>
      </c>
      <c r="I646" s="8"/>
      <c r="J646" s="46">
        <f>J647</f>
        <v>525100</v>
      </c>
      <c r="K646" s="8"/>
      <c r="L646" s="46">
        <f>L647</f>
        <v>525100</v>
      </c>
      <c r="M646" s="8"/>
      <c r="N646" s="46">
        <f>N647</f>
        <v>525100</v>
      </c>
      <c r="O646" s="8"/>
      <c r="P646" s="46">
        <f>P647</f>
        <v>525100</v>
      </c>
      <c r="R646" s="46">
        <f>R647</f>
        <v>176301.77</v>
      </c>
      <c r="S646" s="117">
        <f t="shared" si="26"/>
        <v>33.574894305846506</v>
      </c>
    </row>
    <row r="647" spans="1:19" ht="31.5">
      <c r="A647" s="18" t="s">
        <v>346</v>
      </c>
      <c r="B647" s="8" t="s">
        <v>176</v>
      </c>
      <c r="C647" s="8" t="s">
        <v>125</v>
      </c>
      <c r="D647" s="8" t="s">
        <v>129</v>
      </c>
      <c r="E647" s="8" t="s">
        <v>345</v>
      </c>
      <c r="F647" s="46">
        <v>0</v>
      </c>
      <c r="G647" s="8" t="s">
        <v>471</v>
      </c>
      <c r="H647" s="46">
        <f>F647+G647</f>
        <v>525100</v>
      </c>
      <c r="I647" s="8" t="s">
        <v>376</v>
      </c>
      <c r="J647" s="46">
        <f>H647+I647</f>
        <v>525100</v>
      </c>
      <c r="K647" s="8"/>
      <c r="L647" s="46">
        <f>J647+K647</f>
        <v>525100</v>
      </c>
      <c r="M647" s="8"/>
      <c r="N647" s="46">
        <f>L647+M647</f>
        <v>525100</v>
      </c>
      <c r="O647" s="8"/>
      <c r="P647" s="46">
        <f>N647+O647</f>
        <v>525100</v>
      </c>
      <c r="R647" s="46">
        <v>176301.77</v>
      </c>
      <c r="S647" s="117">
        <f t="shared" si="26"/>
        <v>33.574894305846506</v>
      </c>
    </row>
    <row r="648" spans="1:19" ht="47.25">
      <c r="A648" s="22" t="s">
        <v>242</v>
      </c>
      <c r="B648" s="16" t="s">
        <v>190</v>
      </c>
      <c r="C648" s="16"/>
      <c r="D648" s="10"/>
      <c r="E648" s="10"/>
      <c r="F648" s="42">
        <f>F649</f>
        <v>0</v>
      </c>
      <c r="G648" s="10"/>
      <c r="H648" s="42">
        <f>H649</f>
        <v>1342000</v>
      </c>
      <c r="I648" s="10"/>
      <c r="J648" s="42">
        <f>J649</f>
        <v>1342000</v>
      </c>
      <c r="K648" s="10"/>
      <c r="L648" s="42">
        <f>L649</f>
        <v>1342000</v>
      </c>
      <c r="M648" s="10"/>
      <c r="N648" s="42">
        <f>N649</f>
        <v>1342000</v>
      </c>
      <c r="O648" s="10"/>
      <c r="P648" s="42">
        <f>P649</f>
        <v>1342000</v>
      </c>
      <c r="R648" s="42">
        <f>R649</f>
        <v>505632.48</v>
      </c>
      <c r="S648" s="118">
        <f t="shared" si="26"/>
        <v>37.67753204172876</v>
      </c>
    </row>
    <row r="649" spans="1:19" ht="63">
      <c r="A649" s="1" t="s">
        <v>90</v>
      </c>
      <c r="B649" s="10" t="s">
        <v>190</v>
      </c>
      <c r="C649" s="10" t="s">
        <v>11</v>
      </c>
      <c r="D649" s="10"/>
      <c r="E649" s="10"/>
      <c r="F649" s="45">
        <f>F650+F660</f>
        <v>0</v>
      </c>
      <c r="G649" s="10"/>
      <c r="H649" s="45">
        <f>H650+H660</f>
        <v>1342000</v>
      </c>
      <c r="I649" s="10"/>
      <c r="J649" s="45">
        <f>J650+J660</f>
        <v>1342000</v>
      </c>
      <c r="K649" s="10"/>
      <c r="L649" s="45">
        <f>L650+L660</f>
        <v>1342000</v>
      </c>
      <c r="M649" s="10"/>
      <c r="N649" s="45">
        <f>N650+N660</f>
        <v>1342000</v>
      </c>
      <c r="O649" s="10"/>
      <c r="P649" s="45">
        <f>P650+P660</f>
        <v>1342000</v>
      </c>
      <c r="R649" s="45">
        <f>R650+R660</f>
        <v>505632.48</v>
      </c>
      <c r="S649" s="117">
        <f t="shared" si="26"/>
        <v>37.67753204172876</v>
      </c>
    </row>
    <row r="650" spans="1:19" ht="32.25" customHeight="1">
      <c r="A650" s="1" t="s">
        <v>80</v>
      </c>
      <c r="B650" s="10" t="s">
        <v>190</v>
      </c>
      <c r="C650" s="10" t="s">
        <v>11</v>
      </c>
      <c r="D650" s="10" t="s">
        <v>81</v>
      </c>
      <c r="E650" s="10"/>
      <c r="F650" s="46">
        <f>F651+F656</f>
        <v>0</v>
      </c>
      <c r="G650" s="10"/>
      <c r="H650" s="46">
        <f>H651+H656</f>
        <v>1316000</v>
      </c>
      <c r="I650" s="10"/>
      <c r="J650" s="46">
        <f>J651+J656</f>
        <v>1316000</v>
      </c>
      <c r="K650" s="10"/>
      <c r="L650" s="46">
        <f>L651+L656</f>
        <v>1316000</v>
      </c>
      <c r="M650" s="10"/>
      <c r="N650" s="46">
        <f>N651+N656</f>
        <v>1316000</v>
      </c>
      <c r="O650" s="10"/>
      <c r="P650" s="46">
        <f>P651+P656</f>
        <v>1316000</v>
      </c>
      <c r="R650" s="46">
        <f>R651+R656</f>
        <v>491732.48</v>
      </c>
      <c r="S650" s="117">
        <f t="shared" si="26"/>
        <v>37.36568996960486</v>
      </c>
    </row>
    <row r="651" spans="1:19" ht="15.75">
      <c r="A651" s="1" t="s">
        <v>138</v>
      </c>
      <c r="B651" s="10" t="s">
        <v>190</v>
      </c>
      <c r="C651" s="10" t="s">
        <v>11</v>
      </c>
      <c r="D651" s="10" t="s">
        <v>85</v>
      </c>
      <c r="E651" s="10"/>
      <c r="F651" s="46">
        <f>F652+F653+F654+F655</f>
        <v>0</v>
      </c>
      <c r="G651" s="10"/>
      <c r="H651" s="46">
        <f>H652+H653+H654+H655</f>
        <v>709527</v>
      </c>
      <c r="I651" s="10"/>
      <c r="J651" s="46">
        <f>J652+J653+J654+J655</f>
        <v>709527</v>
      </c>
      <c r="K651" s="10"/>
      <c r="L651" s="46">
        <f>L652+L653+L654+L655</f>
        <v>709527</v>
      </c>
      <c r="M651" s="10"/>
      <c r="N651" s="46">
        <f>N652+N653+N654+N655</f>
        <v>709527</v>
      </c>
      <c r="O651" s="10"/>
      <c r="P651" s="46">
        <f>P652+P653+P654+P655</f>
        <v>709527</v>
      </c>
      <c r="R651" s="46">
        <f>R652+R653+R654+R655</f>
        <v>246238.76</v>
      </c>
      <c r="S651" s="117">
        <f t="shared" si="26"/>
        <v>34.70463562345055</v>
      </c>
    </row>
    <row r="652" spans="1:19" ht="15.75">
      <c r="A652" s="1" t="s">
        <v>318</v>
      </c>
      <c r="B652" s="10" t="s">
        <v>190</v>
      </c>
      <c r="C652" s="10" t="s">
        <v>11</v>
      </c>
      <c r="D652" s="10" t="s">
        <v>85</v>
      </c>
      <c r="E652" s="10" t="s">
        <v>342</v>
      </c>
      <c r="F652" s="46">
        <v>0</v>
      </c>
      <c r="G652" s="10" t="s">
        <v>472</v>
      </c>
      <c r="H652" s="46">
        <f>F652+G652</f>
        <v>654122</v>
      </c>
      <c r="I652" s="10" t="s">
        <v>376</v>
      </c>
      <c r="J652" s="46">
        <f>H652+I652</f>
        <v>654122</v>
      </c>
      <c r="K652" s="10"/>
      <c r="L652" s="46">
        <f>J652+K652</f>
        <v>654122</v>
      </c>
      <c r="M652" s="10"/>
      <c r="N652" s="46">
        <f>L652+M652</f>
        <v>654122</v>
      </c>
      <c r="O652" s="10"/>
      <c r="P652" s="46">
        <f>N652+O652</f>
        <v>654122</v>
      </c>
      <c r="R652" s="46">
        <v>238025.76</v>
      </c>
      <c r="S652" s="117">
        <f t="shared" si="26"/>
        <v>36.388588061554266</v>
      </c>
    </row>
    <row r="653" spans="1:19" ht="31.5">
      <c r="A653" s="1" t="s">
        <v>319</v>
      </c>
      <c r="B653" s="10" t="s">
        <v>190</v>
      </c>
      <c r="C653" s="10" t="s">
        <v>11</v>
      </c>
      <c r="D653" s="10" t="s">
        <v>85</v>
      </c>
      <c r="E653" s="10" t="s">
        <v>348</v>
      </c>
      <c r="F653" s="46">
        <v>0</v>
      </c>
      <c r="G653" s="10" t="s">
        <v>473</v>
      </c>
      <c r="H653" s="46">
        <f>F653+G653</f>
        <v>1945</v>
      </c>
      <c r="I653" s="10" t="s">
        <v>376</v>
      </c>
      <c r="J653" s="46">
        <f>H653+I653</f>
        <v>1945</v>
      </c>
      <c r="K653" s="10"/>
      <c r="L653" s="46">
        <f>J653+K653</f>
        <v>1945</v>
      </c>
      <c r="M653" s="10"/>
      <c r="N653" s="46">
        <f>L653+M653</f>
        <v>1945</v>
      </c>
      <c r="O653" s="10"/>
      <c r="P653" s="46">
        <f>N653+O653</f>
        <v>1945</v>
      </c>
      <c r="R653" s="46">
        <v>487</v>
      </c>
      <c r="S653" s="117">
        <f aca="true" t="shared" si="30" ref="S653:S698">R653/P653*100</f>
        <v>25.038560411311057</v>
      </c>
    </row>
    <row r="654" spans="1:19" ht="47.25">
      <c r="A654" s="1" t="s">
        <v>320</v>
      </c>
      <c r="B654" s="10" t="s">
        <v>190</v>
      </c>
      <c r="C654" s="10" t="s">
        <v>11</v>
      </c>
      <c r="D654" s="10" t="s">
        <v>85</v>
      </c>
      <c r="E654" s="10" t="s">
        <v>315</v>
      </c>
      <c r="F654" s="46">
        <v>0</v>
      </c>
      <c r="G654" s="10" t="s">
        <v>474</v>
      </c>
      <c r="H654" s="46">
        <f>F654+G654</f>
        <v>26000</v>
      </c>
      <c r="I654" s="10" t="s">
        <v>376</v>
      </c>
      <c r="J654" s="46">
        <f>H654+I654</f>
        <v>26000</v>
      </c>
      <c r="K654" s="10"/>
      <c r="L654" s="46">
        <f>J654+K654</f>
        <v>26000</v>
      </c>
      <c r="M654" s="10" t="s">
        <v>688</v>
      </c>
      <c r="N654" s="46">
        <f>L654+M654</f>
        <v>21500</v>
      </c>
      <c r="O654" s="10"/>
      <c r="P654" s="46">
        <f>N654+O654</f>
        <v>21500</v>
      </c>
      <c r="R654" s="46">
        <v>2195</v>
      </c>
      <c r="S654" s="117">
        <f t="shared" si="30"/>
        <v>10.209302325581396</v>
      </c>
    </row>
    <row r="655" spans="1:19" ht="31.5">
      <c r="A655" s="1" t="s">
        <v>321</v>
      </c>
      <c r="B655" s="10" t="s">
        <v>190</v>
      </c>
      <c r="C655" s="10" t="s">
        <v>11</v>
      </c>
      <c r="D655" s="10" t="s">
        <v>85</v>
      </c>
      <c r="E655" s="10" t="s">
        <v>316</v>
      </c>
      <c r="F655" s="46">
        <v>0</v>
      </c>
      <c r="G655" s="10" t="s">
        <v>475</v>
      </c>
      <c r="H655" s="46">
        <f>F655+G655</f>
        <v>27460</v>
      </c>
      <c r="I655" s="10" t="s">
        <v>376</v>
      </c>
      <c r="J655" s="46">
        <f>H655+I655</f>
        <v>27460</v>
      </c>
      <c r="K655" s="10"/>
      <c r="L655" s="46">
        <f>J655+K655</f>
        <v>27460</v>
      </c>
      <c r="M655" s="10" t="s">
        <v>689</v>
      </c>
      <c r="N655" s="46">
        <f>L655+M655</f>
        <v>31960</v>
      </c>
      <c r="O655" s="10"/>
      <c r="P655" s="46">
        <f>N655+O655</f>
        <v>31960</v>
      </c>
      <c r="R655" s="46">
        <v>5531</v>
      </c>
      <c r="S655" s="117">
        <f t="shared" si="30"/>
        <v>17.306007509386735</v>
      </c>
    </row>
    <row r="656" spans="1:19" ht="47.25">
      <c r="A656" s="1" t="s">
        <v>91</v>
      </c>
      <c r="B656" s="10" t="s">
        <v>190</v>
      </c>
      <c r="C656" s="10" t="s">
        <v>11</v>
      </c>
      <c r="D656" s="10" t="s">
        <v>92</v>
      </c>
      <c r="E656" s="10"/>
      <c r="F656" s="46">
        <f>F657+F658</f>
        <v>0</v>
      </c>
      <c r="G656" s="10"/>
      <c r="H656" s="46">
        <f>H657+H658</f>
        <v>606473</v>
      </c>
      <c r="I656" s="10"/>
      <c r="J656" s="46">
        <f>J657+J658</f>
        <v>606473</v>
      </c>
      <c r="K656" s="10"/>
      <c r="L656" s="46">
        <f>L657+L658</f>
        <v>606473</v>
      </c>
      <c r="M656" s="10"/>
      <c r="N656" s="46">
        <f>N657+N658</f>
        <v>606473</v>
      </c>
      <c r="O656" s="10"/>
      <c r="P656" s="46">
        <f>P657+P658</f>
        <v>606473</v>
      </c>
      <c r="R656" s="46">
        <f>R657+R658</f>
        <v>245493.72</v>
      </c>
      <c r="S656" s="117">
        <f t="shared" si="30"/>
        <v>40.47891991894116</v>
      </c>
    </row>
    <row r="657" spans="1:19" ht="15.75">
      <c r="A657" s="1" t="s">
        <v>318</v>
      </c>
      <c r="B657" s="11" t="s">
        <v>190</v>
      </c>
      <c r="C657" s="11" t="s">
        <v>11</v>
      </c>
      <c r="D657" s="11" t="s">
        <v>92</v>
      </c>
      <c r="E657" s="11" t="s">
        <v>342</v>
      </c>
      <c r="F657" s="46">
        <v>0</v>
      </c>
      <c r="G657" s="11" t="s">
        <v>476</v>
      </c>
      <c r="H657" s="46">
        <f>F657+G657</f>
        <v>603273</v>
      </c>
      <c r="I657" s="11" t="s">
        <v>376</v>
      </c>
      <c r="J657" s="46">
        <f>H657+I657</f>
        <v>603273</v>
      </c>
      <c r="K657" s="11"/>
      <c r="L657" s="46">
        <f>J657+K657</f>
        <v>603273</v>
      </c>
      <c r="M657" s="11"/>
      <c r="N657" s="46">
        <f>L657+M657</f>
        <v>603273</v>
      </c>
      <c r="O657" s="11"/>
      <c r="P657" s="46">
        <f>N657+O657</f>
        <v>603273</v>
      </c>
      <c r="R657" s="46">
        <v>245293.72</v>
      </c>
      <c r="S657" s="117">
        <f t="shared" si="30"/>
        <v>40.6604837279308</v>
      </c>
    </row>
    <row r="658" spans="1:19" ht="31.5">
      <c r="A658" s="1" t="s">
        <v>319</v>
      </c>
      <c r="B658" s="11" t="s">
        <v>190</v>
      </c>
      <c r="C658" s="11" t="s">
        <v>11</v>
      </c>
      <c r="D658" s="11" t="s">
        <v>92</v>
      </c>
      <c r="E658" s="11" t="s">
        <v>348</v>
      </c>
      <c r="F658" s="46">
        <v>0</v>
      </c>
      <c r="G658" s="11" t="s">
        <v>477</v>
      </c>
      <c r="H658" s="46">
        <f>F658+G658</f>
        <v>3200</v>
      </c>
      <c r="I658" s="11" t="s">
        <v>376</v>
      </c>
      <c r="J658" s="46">
        <f>H658+I658</f>
        <v>3200</v>
      </c>
      <c r="K658" s="11"/>
      <c r="L658" s="46">
        <f>J658+K658</f>
        <v>3200</v>
      </c>
      <c r="M658" s="11"/>
      <c r="N658" s="46">
        <f>L658+M658</f>
        <v>3200</v>
      </c>
      <c r="O658" s="11"/>
      <c r="P658" s="46">
        <f>N658+O658</f>
        <v>3200</v>
      </c>
      <c r="R658" s="46">
        <v>200</v>
      </c>
      <c r="S658" s="117">
        <f t="shared" si="30"/>
        <v>6.25</v>
      </c>
    </row>
    <row r="659" spans="1:19" ht="47.25">
      <c r="A659" s="1" t="s">
        <v>736</v>
      </c>
      <c r="B659" s="10" t="s">
        <v>190</v>
      </c>
      <c r="C659" s="10" t="s">
        <v>11</v>
      </c>
      <c r="D659" s="10" t="s">
        <v>302</v>
      </c>
      <c r="E659" s="10"/>
      <c r="F659" s="51">
        <f>F660</f>
        <v>0</v>
      </c>
      <c r="G659" s="10"/>
      <c r="H659" s="51">
        <f>H660</f>
        <v>26000</v>
      </c>
      <c r="I659" s="10"/>
      <c r="J659" s="51">
        <f>J660</f>
        <v>26000</v>
      </c>
      <c r="K659" s="10"/>
      <c r="L659" s="51">
        <f>L660</f>
        <v>26000</v>
      </c>
      <c r="M659" s="10"/>
      <c r="N659" s="51">
        <f>N660</f>
        <v>26000</v>
      </c>
      <c r="O659" s="10"/>
      <c r="P659" s="51">
        <f>P660</f>
        <v>26000</v>
      </c>
      <c r="R659" s="51">
        <f>R660</f>
        <v>13900</v>
      </c>
      <c r="S659" s="117">
        <f t="shared" si="30"/>
        <v>53.46153846153846</v>
      </c>
    </row>
    <row r="660" spans="1:19" ht="15.75">
      <c r="A660" s="1" t="s">
        <v>327</v>
      </c>
      <c r="B660" s="10" t="s">
        <v>190</v>
      </c>
      <c r="C660" s="10" t="s">
        <v>11</v>
      </c>
      <c r="D660" s="10" t="s">
        <v>302</v>
      </c>
      <c r="E660" s="10" t="s">
        <v>326</v>
      </c>
      <c r="F660" s="51">
        <v>0</v>
      </c>
      <c r="G660" s="10" t="s">
        <v>474</v>
      </c>
      <c r="H660" s="51">
        <f>F660+G660</f>
        <v>26000</v>
      </c>
      <c r="I660" s="10" t="s">
        <v>376</v>
      </c>
      <c r="J660" s="51">
        <f>H660+I660</f>
        <v>26000</v>
      </c>
      <c r="K660" s="10"/>
      <c r="L660" s="51">
        <f>J660+K660</f>
        <v>26000</v>
      </c>
      <c r="M660" s="10"/>
      <c r="N660" s="51">
        <f>L660+M660</f>
        <v>26000</v>
      </c>
      <c r="O660" s="10"/>
      <c r="P660" s="51">
        <f>N660+O660</f>
        <v>26000</v>
      </c>
      <c r="R660" s="51">
        <v>13900</v>
      </c>
      <c r="S660" s="117">
        <f t="shared" si="30"/>
        <v>53.46153846153846</v>
      </c>
    </row>
    <row r="661" spans="1:19" ht="47.25">
      <c r="A661" s="20" t="s">
        <v>311</v>
      </c>
      <c r="B661" s="38" t="s">
        <v>312</v>
      </c>
      <c r="C661" s="38"/>
      <c r="D661" s="38"/>
      <c r="E661" s="38"/>
      <c r="F661" s="45">
        <f>F662</f>
        <v>0</v>
      </c>
      <c r="G661" s="38"/>
      <c r="H661" s="45">
        <f>H662</f>
        <v>696000</v>
      </c>
      <c r="I661" s="38"/>
      <c r="J661" s="45">
        <f>J662</f>
        <v>696000</v>
      </c>
      <c r="K661" s="38"/>
      <c r="L661" s="45">
        <f>L662</f>
        <v>696000</v>
      </c>
      <c r="M661" s="38"/>
      <c r="N661" s="45">
        <f>N662</f>
        <v>696000</v>
      </c>
      <c r="O661" s="38"/>
      <c r="P661" s="45">
        <f>P662</f>
        <v>696000</v>
      </c>
      <c r="R661" s="45">
        <f>R662</f>
        <v>696000</v>
      </c>
      <c r="S661" s="118">
        <f t="shared" si="30"/>
        <v>100</v>
      </c>
    </row>
    <row r="662" spans="1:19" ht="31.5">
      <c r="A662" s="3" t="s">
        <v>269</v>
      </c>
      <c r="B662" s="39" t="s">
        <v>312</v>
      </c>
      <c r="C662" s="39" t="s">
        <v>270</v>
      </c>
      <c r="D662" s="39"/>
      <c r="E662" s="39"/>
      <c r="F662" s="45">
        <f>F663</f>
        <v>0</v>
      </c>
      <c r="G662" s="39"/>
      <c r="H662" s="45">
        <f>H663</f>
        <v>696000</v>
      </c>
      <c r="I662" s="39"/>
      <c r="J662" s="45">
        <f>J663</f>
        <v>696000</v>
      </c>
      <c r="K662" s="39"/>
      <c r="L662" s="45">
        <f>L663</f>
        <v>696000</v>
      </c>
      <c r="M662" s="39"/>
      <c r="N662" s="45">
        <f>N663</f>
        <v>696000</v>
      </c>
      <c r="O662" s="39"/>
      <c r="P662" s="45">
        <f>P663</f>
        <v>696000</v>
      </c>
      <c r="R662" s="45">
        <f>R663</f>
        <v>696000</v>
      </c>
      <c r="S662" s="117">
        <f t="shared" si="30"/>
        <v>100</v>
      </c>
    </row>
    <row r="663" spans="1:19" ht="15.75">
      <c r="A663" s="3" t="s">
        <v>271</v>
      </c>
      <c r="B663" s="39" t="s">
        <v>312</v>
      </c>
      <c r="C663" s="39" t="s">
        <v>270</v>
      </c>
      <c r="D663" s="39" t="s">
        <v>272</v>
      </c>
      <c r="E663" s="39"/>
      <c r="F663" s="45">
        <f>F664</f>
        <v>0</v>
      </c>
      <c r="G663" s="39"/>
      <c r="H663" s="45">
        <f>H664</f>
        <v>696000</v>
      </c>
      <c r="I663" s="39"/>
      <c r="J663" s="45">
        <f>J664</f>
        <v>696000</v>
      </c>
      <c r="K663" s="39"/>
      <c r="L663" s="45">
        <f>L664</f>
        <v>696000</v>
      </c>
      <c r="M663" s="39"/>
      <c r="N663" s="45">
        <f>N664</f>
        <v>696000</v>
      </c>
      <c r="O663" s="39"/>
      <c r="P663" s="45">
        <f>P664</f>
        <v>696000</v>
      </c>
      <c r="R663" s="45">
        <f>R664</f>
        <v>696000</v>
      </c>
      <c r="S663" s="117">
        <f t="shared" si="30"/>
        <v>100</v>
      </c>
    </row>
    <row r="664" spans="1:19" ht="33" customHeight="1">
      <c r="A664" s="3" t="s">
        <v>273</v>
      </c>
      <c r="B664" s="39" t="s">
        <v>312</v>
      </c>
      <c r="C664" s="39" t="s">
        <v>270</v>
      </c>
      <c r="D664" s="39" t="s">
        <v>274</v>
      </c>
      <c r="E664" s="39"/>
      <c r="F664" s="45">
        <f>F665</f>
        <v>0</v>
      </c>
      <c r="G664" s="39"/>
      <c r="H664" s="45">
        <f>H665</f>
        <v>696000</v>
      </c>
      <c r="I664" s="39"/>
      <c r="J664" s="45">
        <f>J665</f>
        <v>696000</v>
      </c>
      <c r="K664" s="39"/>
      <c r="L664" s="45">
        <f>L665</f>
        <v>696000</v>
      </c>
      <c r="M664" s="39"/>
      <c r="N664" s="45">
        <f>N665</f>
        <v>696000</v>
      </c>
      <c r="O664" s="39"/>
      <c r="P664" s="45">
        <f>P665</f>
        <v>696000</v>
      </c>
      <c r="R664" s="45">
        <f>R665</f>
        <v>696000</v>
      </c>
      <c r="S664" s="117">
        <f t="shared" si="30"/>
        <v>100</v>
      </c>
    </row>
    <row r="665" spans="1:19" ht="15.75">
      <c r="A665" s="1" t="s">
        <v>327</v>
      </c>
      <c r="B665" s="39" t="s">
        <v>312</v>
      </c>
      <c r="C665" s="39" t="s">
        <v>270</v>
      </c>
      <c r="D665" s="39" t="s">
        <v>274</v>
      </c>
      <c r="E665" s="39" t="s">
        <v>326</v>
      </c>
      <c r="F665" s="45">
        <v>0</v>
      </c>
      <c r="G665" s="39" t="s">
        <v>481</v>
      </c>
      <c r="H665" s="45">
        <f>F665+G665</f>
        <v>696000</v>
      </c>
      <c r="I665" s="39" t="s">
        <v>376</v>
      </c>
      <c r="J665" s="45">
        <f>H665+I665</f>
        <v>696000</v>
      </c>
      <c r="K665" s="39"/>
      <c r="L665" s="45">
        <f>J665+K665</f>
        <v>696000</v>
      </c>
      <c r="M665" s="39"/>
      <c r="N665" s="45">
        <f>L665+M665</f>
        <v>696000</v>
      </c>
      <c r="O665" s="39"/>
      <c r="P665" s="45">
        <f>N665+O665</f>
        <v>696000</v>
      </c>
      <c r="R665" s="45">
        <f>P665+Q665</f>
        <v>696000</v>
      </c>
      <c r="S665" s="117">
        <f t="shared" si="30"/>
        <v>100</v>
      </c>
    </row>
    <row r="666" spans="1:19" ht="47.25">
      <c r="A666" s="41" t="s">
        <v>241</v>
      </c>
      <c r="B666" s="40" t="s">
        <v>240</v>
      </c>
      <c r="C666" s="11"/>
      <c r="D666" s="11"/>
      <c r="E666" s="11"/>
      <c r="F666" s="52">
        <f>F667+F683+F688</f>
        <v>0</v>
      </c>
      <c r="G666" s="11"/>
      <c r="H666" s="52">
        <f>H667+H683+H688</f>
        <v>12305400</v>
      </c>
      <c r="I666" s="11"/>
      <c r="J666" s="52">
        <f>J667+J683+J688</f>
        <v>17838000</v>
      </c>
      <c r="K666" s="11"/>
      <c r="L666" s="52">
        <f>L667+L683+L688</f>
        <v>17967000</v>
      </c>
      <c r="M666" s="11"/>
      <c r="N666" s="52">
        <f>N667+N683+N688</f>
        <v>22729033</v>
      </c>
      <c r="O666" s="11"/>
      <c r="P666" s="52">
        <f>P667+P683+P688</f>
        <v>34089732</v>
      </c>
      <c r="R666" s="52">
        <f>R667+R683+R688</f>
        <v>16040965.889999999</v>
      </c>
      <c r="S666" s="118">
        <f t="shared" si="30"/>
        <v>47.05512466334437</v>
      </c>
    </row>
    <row r="667" spans="1:19" ht="63">
      <c r="A667" s="1" t="s">
        <v>90</v>
      </c>
      <c r="B667" s="10" t="s">
        <v>240</v>
      </c>
      <c r="C667" s="10" t="s">
        <v>11</v>
      </c>
      <c r="D667" s="10"/>
      <c r="E667" s="10"/>
      <c r="F667" s="46">
        <f>F668+F677</f>
        <v>0</v>
      </c>
      <c r="G667" s="10"/>
      <c r="H667" s="46">
        <f>H668+H677+H681</f>
        <v>7250600</v>
      </c>
      <c r="I667" s="10"/>
      <c r="J667" s="46">
        <f>J668+J677+J681</f>
        <v>7307100</v>
      </c>
      <c r="K667" s="10"/>
      <c r="L667" s="46">
        <f>L668+L677+L681</f>
        <v>7307100</v>
      </c>
      <c r="M667" s="10"/>
      <c r="N667" s="46">
        <f>N668+N677+N681</f>
        <v>7307100</v>
      </c>
      <c r="O667" s="10"/>
      <c r="P667" s="46">
        <f>P668+P677+P681</f>
        <v>7307100</v>
      </c>
      <c r="R667" s="46">
        <f>R668+R677+R681</f>
        <v>2595452.93</v>
      </c>
      <c r="S667" s="117">
        <f t="shared" si="30"/>
        <v>35.51960326258023</v>
      </c>
    </row>
    <row r="668" spans="1:19" ht="63">
      <c r="A668" s="1" t="s">
        <v>80</v>
      </c>
      <c r="B668" s="10" t="s">
        <v>240</v>
      </c>
      <c r="C668" s="10" t="s">
        <v>11</v>
      </c>
      <c r="D668" s="10" t="s">
        <v>81</v>
      </c>
      <c r="E668" s="10"/>
      <c r="F668" s="46">
        <f>F669</f>
        <v>0</v>
      </c>
      <c r="G668" s="10"/>
      <c r="H668" s="46">
        <f>H669</f>
        <v>7211600</v>
      </c>
      <c r="I668" s="10"/>
      <c r="J668" s="46">
        <f>J669</f>
        <v>7268100</v>
      </c>
      <c r="K668" s="10"/>
      <c r="L668" s="46">
        <f>L669</f>
        <v>7268100</v>
      </c>
      <c r="M668" s="10"/>
      <c r="N668" s="46">
        <f>N669</f>
        <v>7268100</v>
      </c>
      <c r="O668" s="10"/>
      <c r="P668" s="46">
        <f>P669</f>
        <v>7268100</v>
      </c>
      <c r="R668" s="46">
        <f>R669</f>
        <v>2586739.93</v>
      </c>
      <c r="S668" s="117">
        <f t="shared" si="30"/>
        <v>35.59031837756773</v>
      </c>
    </row>
    <row r="669" spans="1:19" ht="15.75">
      <c r="A669" s="1" t="s">
        <v>138</v>
      </c>
      <c r="B669" s="10" t="s">
        <v>240</v>
      </c>
      <c r="C669" s="10" t="s">
        <v>11</v>
      </c>
      <c r="D669" s="10" t="s">
        <v>85</v>
      </c>
      <c r="E669" s="10"/>
      <c r="F669" s="46">
        <f>F670+F672+F674+F675+F676+F673+F671</f>
        <v>0</v>
      </c>
      <c r="G669" s="10"/>
      <c r="H669" s="46">
        <f>H670+H672+H674+H675+H676+H673+H671</f>
        <v>7211600</v>
      </c>
      <c r="I669" s="10"/>
      <c r="J669" s="46">
        <f>J670+J672+J674+J675+J676+J673+J671</f>
        <v>7268100</v>
      </c>
      <c r="K669" s="10"/>
      <c r="L669" s="46">
        <f>L670+L672+L674+L675+L676+L673+L671</f>
        <v>7268100</v>
      </c>
      <c r="M669" s="10"/>
      <c r="N669" s="46">
        <f>N670+N672+N674+N675+N676+N673+N671</f>
        <v>7268100</v>
      </c>
      <c r="O669" s="10"/>
      <c r="P669" s="46">
        <f>P670+P672+P674+P675+P676+P673+P671</f>
        <v>7268100</v>
      </c>
      <c r="R669" s="46">
        <f>R670+R672+R674+R675+R676+R673+R671</f>
        <v>2586739.93</v>
      </c>
      <c r="S669" s="117">
        <f t="shared" si="30"/>
        <v>35.59031837756773</v>
      </c>
    </row>
    <row r="670" spans="1:19" ht="15.75">
      <c r="A670" s="1" t="s">
        <v>318</v>
      </c>
      <c r="B670" s="10" t="s">
        <v>240</v>
      </c>
      <c r="C670" s="10" t="s">
        <v>11</v>
      </c>
      <c r="D670" s="10" t="s">
        <v>85</v>
      </c>
      <c r="E670" s="10" t="s">
        <v>313</v>
      </c>
      <c r="F670" s="46">
        <v>0</v>
      </c>
      <c r="G670" s="10" t="s">
        <v>521</v>
      </c>
      <c r="H670" s="46">
        <f aca="true" t="shared" si="31" ref="H670:J676">F670+G670</f>
        <v>550815</v>
      </c>
      <c r="I670" s="10" t="s">
        <v>376</v>
      </c>
      <c r="J670" s="46">
        <f t="shared" si="31"/>
        <v>550815</v>
      </c>
      <c r="K670" s="10"/>
      <c r="L670" s="46">
        <f aca="true" t="shared" si="32" ref="L670:N676">J670+K670</f>
        <v>550815</v>
      </c>
      <c r="M670" s="10"/>
      <c r="N670" s="46">
        <f t="shared" si="32"/>
        <v>550815</v>
      </c>
      <c r="O670" s="10"/>
      <c r="P670" s="46">
        <f aca="true" t="shared" si="33" ref="P670:P676">N670+O670</f>
        <v>550815</v>
      </c>
      <c r="R670" s="46">
        <v>196420.04</v>
      </c>
      <c r="S670" s="117">
        <f t="shared" si="30"/>
        <v>35.65989306754537</v>
      </c>
    </row>
    <row r="671" spans="1:19" ht="30" customHeight="1">
      <c r="A671" s="1" t="s">
        <v>319</v>
      </c>
      <c r="B671" s="10" t="s">
        <v>240</v>
      </c>
      <c r="C671" s="10" t="s">
        <v>11</v>
      </c>
      <c r="D671" s="10" t="s">
        <v>85</v>
      </c>
      <c r="E671" s="10" t="s">
        <v>314</v>
      </c>
      <c r="F671" s="46">
        <v>0</v>
      </c>
      <c r="G671" s="10" t="s">
        <v>522</v>
      </c>
      <c r="H671" s="46">
        <f t="shared" si="31"/>
        <v>17200</v>
      </c>
      <c r="I671" s="10" t="s">
        <v>376</v>
      </c>
      <c r="J671" s="46">
        <f t="shared" si="31"/>
        <v>17200</v>
      </c>
      <c r="K671" s="10"/>
      <c r="L671" s="46">
        <f t="shared" si="32"/>
        <v>17200</v>
      </c>
      <c r="M671" s="10"/>
      <c r="N671" s="46">
        <f t="shared" si="32"/>
        <v>17200</v>
      </c>
      <c r="O671" s="10"/>
      <c r="P671" s="46">
        <f t="shared" si="33"/>
        <v>17200</v>
      </c>
      <c r="R671" s="46">
        <v>4400</v>
      </c>
      <c r="S671" s="117">
        <f t="shared" si="30"/>
        <v>25.581395348837212</v>
      </c>
    </row>
    <row r="672" spans="1:19" ht="15.75">
      <c r="A672" s="1" t="s">
        <v>318</v>
      </c>
      <c r="B672" s="10" t="s">
        <v>240</v>
      </c>
      <c r="C672" s="10" t="s">
        <v>11</v>
      </c>
      <c r="D672" s="10" t="s">
        <v>85</v>
      </c>
      <c r="E672" s="10" t="s">
        <v>342</v>
      </c>
      <c r="F672" s="46">
        <v>0</v>
      </c>
      <c r="G672" s="10" t="s">
        <v>520</v>
      </c>
      <c r="H672" s="46">
        <f t="shared" si="31"/>
        <v>5079385</v>
      </c>
      <c r="I672" s="10" t="s">
        <v>376</v>
      </c>
      <c r="J672" s="46">
        <f t="shared" si="31"/>
        <v>5079385</v>
      </c>
      <c r="K672" s="10"/>
      <c r="L672" s="46">
        <f t="shared" si="32"/>
        <v>5079385</v>
      </c>
      <c r="M672" s="10"/>
      <c r="N672" s="46">
        <f t="shared" si="32"/>
        <v>5079385</v>
      </c>
      <c r="O672" s="10"/>
      <c r="P672" s="46">
        <f t="shared" si="33"/>
        <v>5079385</v>
      </c>
      <c r="R672" s="46">
        <v>1953677.48</v>
      </c>
      <c r="S672" s="117">
        <f t="shared" si="30"/>
        <v>38.46287454091391</v>
      </c>
    </row>
    <row r="673" spans="1:19" ht="36" customHeight="1">
      <c r="A673" s="1" t="s">
        <v>319</v>
      </c>
      <c r="B673" s="10" t="s">
        <v>240</v>
      </c>
      <c r="C673" s="10" t="s">
        <v>11</v>
      </c>
      <c r="D673" s="10" t="s">
        <v>85</v>
      </c>
      <c r="E673" s="10" t="s">
        <v>348</v>
      </c>
      <c r="F673" s="46">
        <v>0</v>
      </c>
      <c r="G673" s="10" t="s">
        <v>523</v>
      </c>
      <c r="H673" s="46">
        <f t="shared" si="31"/>
        <v>9600</v>
      </c>
      <c r="I673" s="10" t="s">
        <v>376</v>
      </c>
      <c r="J673" s="46">
        <f t="shared" si="31"/>
        <v>9600</v>
      </c>
      <c r="K673" s="10"/>
      <c r="L673" s="46">
        <f t="shared" si="32"/>
        <v>9600</v>
      </c>
      <c r="M673" s="10"/>
      <c r="N673" s="46">
        <f t="shared" si="32"/>
        <v>9600</v>
      </c>
      <c r="O673" s="10"/>
      <c r="P673" s="46">
        <f t="shared" si="33"/>
        <v>9600</v>
      </c>
      <c r="R673" s="46">
        <v>2000</v>
      </c>
      <c r="S673" s="117">
        <f t="shared" si="30"/>
        <v>20.833333333333336</v>
      </c>
    </row>
    <row r="674" spans="1:19" ht="47.25">
      <c r="A674" s="1" t="s">
        <v>320</v>
      </c>
      <c r="B674" s="10" t="s">
        <v>240</v>
      </c>
      <c r="C674" s="10" t="s">
        <v>11</v>
      </c>
      <c r="D674" s="10" t="s">
        <v>85</v>
      </c>
      <c r="E674" s="10" t="s">
        <v>315</v>
      </c>
      <c r="F674" s="46">
        <v>0</v>
      </c>
      <c r="G674" s="10" t="s">
        <v>524</v>
      </c>
      <c r="H674" s="46">
        <f t="shared" si="31"/>
        <v>938300</v>
      </c>
      <c r="I674" s="10" t="s">
        <v>376</v>
      </c>
      <c r="J674" s="46">
        <f t="shared" si="31"/>
        <v>938300</v>
      </c>
      <c r="K674" s="10" t="s">
        <v>594</v>
      </c>
      <c r="L674" s="46">
        <f t="shared" si="32"/>
        <v>937300</v>
      </c>
      <c r="M674" s="10" t="s">
        <v>376</v>
      </c>
      <c r="N674" s="46">
        <f t="shared" si="32"/>
        <v>937300</v>
      </c>
      <c r="O674" s="10"/>
      <c r="P674" s="46">
        <f t="shared" si="33"/>
        <v>937300</v>
      </c>
      <c r="R674" s="46">
        <v>338261.98</v>
      </c>
      <c r="S674" s="117">
        <f t="shared" si="30"/>
        <v>36.088976848394324</v>
      </c>
    </row>
    <row r="675" spans="1:19" ht="33.75" customHeight="1">
      <c r="A675" s="1" t="s">
        <v>321</v>
      </c>
      <c r="B675" s="10" t="s">
        <v>240</v>
      </c>
      <c r="C675" s="10" t="s">
        <v>11</v>
      </c>
      <c r="D675" s="10" t="s">
        <v>85</v>
      </c>
      <c r="E675" s="10" t="s">
        <v>316</v>
      </c>
      <c r="F675" s="46">
        <v>0</v>
      </c>
      <c r="G675" s="10" t="s">
        <v>525</v>
      </c>
      <c r="H675" s="46">
        <f t="shared" si="31"/>
        <v>615700</v>
      </c>
      <c r="I675" s="10" t="s">
        <v>584</v>
      </c>
      <c r="J675" s="46">
        <f t="shared" si="31"/>
        <v>672200</v>
      </c>
      <c r="K675" s="10" t="s">
        <v>77</v>
      </c>
      <c r="L675" s="46">
        <f t="shared" si="32"/>
        <v>673200</v>
      </c>
      <c r="M675" s="10" t="s">
        <v>376</v>
      </c>
      <c r="N675" s="46">
        <f t="shared" si="32"/>
        <v>673200</v>
      </c>
      <c r="O675" s="10"/>
      <c r="P675" s="46">
        <f t="shared" si="33"/>
        <v>673200</v>
      </c>
      <c r="R675" s="46">
        <v>91980.43</v>
      </c>
      <c r="S675" s="117">
        <f t="shared" si="30"/>
        <v>13.663165478312536</v>
      </c>
    </row>
    <row r="676" spans="1:19" ht="31.5">
      <c r="A676" s="1" t="s">
        <v>322</v>
      </c>
      <c r="B676" s="10" t="s">
        <v>240</v>
      </c>
      <c r="C676" s="10" t="s">
        <v>11</v>
      </c>
      <c r="D676" s="10" t="s">
        <v>85</v>
      </c>
      <c r="E676" s="10" t="s">
        <v>317</v>
      </c>
      <c r="F676" s="46">
        <v>0</v>
      </c>
      <c r="G676" s="10" t="s">
        <v>526</v>
      </c>
      <c r="H676" s="46">
        <f t="shared" si="31"/>
        <v>600</v>
      </c>
      <c r="I676" s="10" t="s">
        <v>376</v>
      </c>
      <c r="J676" s="46">
        <f t="shared" si="31"/>
        <v>600</v>
      </c>
      <c r="K676" s="10"/>
      <c r="L676" s="46">
        <f t="shared" si="32"/>
        <v>600</v>
      </c>
      <c r="M676" s="10"/>
      <c r="N676" s="46">
        <f t="shared" si="32"/>
        <v>600</v>
      </c>
      <c r="O676" s="10"/>
      <c r="P676" s="46">
        <f t="shared" si="33"/>
        <v>600</v>
      </c>
      <c r="R676" s="46">
        <v>0</v>
      </c>
      <c r="S676" s="117">
        <f t="shared" si="30"/>
        <v>0</v>
      </c>
    </row>
    <row r="677" spans="1:19" ht="16.5" customHeight="1" hidden="1">
      <c r="A677" s="36" t="s">
        <v>226</v>
      </c>
      <c r="B677" s="10" t="s">
        <v>240</v>
      </c>
      <c r="C677" s="10" t="s">
        <v>11</v>
      </c>
      <c r="D677" s="10" t="s">
        <v>227</v>
      </c>
      <c r="E677" s="10"/>
      <c r="F677" s="46">
        <f>F679</f>
        <v>0</v>
      </c>
      <c r="G677" s="10"/>
      <c r="H677" s="46">
        <f>H679</f>
        <v>0</v>
      </c>
      <c r="I677" s="10"/>
      <c r="J677" s="46">
        <f>J679</f>
        <v>0</v>
      </c>
      <c r="K677" s="10"/>
      <c r="L677" s="46">
        <f>L679</f>
        <v>0</v>
      </c>
      <c r="M677" s="10"/>
      <c r="N677" s="46">
        <f>N679</f>
        <v>0</v>
      </c>
      <c r="O677" s="10"/>
      <c r="P677" s="46">
        <f>P679</f>
        <v>0</v>
      </c>
      <c r="R677" s="46">
        <f>R679</f>
        <v>0</v>
      </c>
      <c r="S677" s="117" t="e">
        <f t="shared" si="30"/>
        <v>#DIV/0!</v>
      </c>
    </row>
    <row r="678" spans="1:19" ht="19.5" customHeight="1" hidden="1">
      <c r="A678" s="36" t="s">
        <v>229</v>
      </c>
      <c r="B678" s="10" t="s">
        <v>240</v>
      </c>
      <c r="C678" s="10" t="s">
        <v>11</v>
      </c>
      <c r="D678" s="10" t="s">
        <v>228</v>
      </c>
      <c r="E678" s="10"/>
      <c r="F678" s="46"/>
      <c r="G678" s="10"/>
      <c r="H678" s="46"/>
      <c r="I678" s="10"/>
      <c r="J678" s="46"/>
      <c r="K678" s="10"/>
      <c r="L678" s="46"/>
      <c r="M678" s="10"/>
      <c r="N678" s="46"/>
      <c r="O678" s="10"/>
      <c r="P678" s="46"/>
      <c r="R678" s="46"/>
      <c r="S678" s="117" t="e">
        <f t="shared" si="30"/>
        <v>#DIV/0!</v>
      </c>
    </row>
    <row r="679" spans="1:19" ht="17.25" customHeight="1" hidden="1">
      <c r="A679" s="36" t="s">
        <v>248</v>
      </c>
      <c r="B679" s="10" t="s">
        <v>240</v>
      </c>
      <c r="C679" s="10" t="s">
        <v>11</v>
      </c>
      <c r="D679" s="10" t="s">
        <v>225</v>
      </c>
      <c r="E679" s="10"/>
      <c r="F679" s="46">
        <f>F680</f>
        <v>0</v>
      </c>
      <c r="G679" s="10"/>
      <c r="H679" s="46">
        <f>H680</f>
        <v>0</v>
      </c>
      <c r="I679" s="10"/>
      <c r="J679" s="46">
        <f>J680</f>
        <v>0</v>
      </c>
      <c r="K679" s="10"/>
      <c r="L679" s="46">
        <f>L680</f>
        <v>0</v>
      </c>
      <c r="M679" s="10"/>
      <c r="N679" s="46">
        <f>N680</f>
        <v>0</v>
      </c>
      <c r="O679" s="10"/>
      <c r="P679" s="46">
        <f>P680</f>
        <v>0</v>
      </c>
      <c r="R679" s="46">
        <f>R680</f>
        <v>0</v>
      </c>
      <c r="S679" s="117" t="e">
        <f t="shared" si="30"/>
        <v>#DIV/0!</v>
      </c>
    </row>
    <row r="680" spans="1:19" ht="14.25" customHeight="1" hidden="1">
      <c r="A680" s="24" t="s">
        <v>41</v>
      </c>
      <c r="B680" s="10" t="s">
        <v>240</v>
      </c>
      <c r="C680" s="10" t="s">
        <v>11</v>
      </c>
      <c r="D680" s="10" t="s">
        <v>225</v>
      </c>
      <c r="E680" s="10" t="s">
        <v>42</v>
      </c>
      <c r="F680" s="46"/>
      <c r="G680" s="10"/>
      <c r="H680" s="46"/>
      <c r="I680" s="10"/>
      <c r="J680" s="46"/>
      <c r="K680" s="10"/>
      <c r="L680" s="46"/>
      <c r="M680" s="10"/>
      <c r="N680" s="46"/>
      <c r="O680" s="10"/>
      <c r="P680" s="46"/>
      <c r="R680" s="46"/>
      <c r="S680" s="117" t="e">
        <f t="shared" si="30"/>
        <v>#DIV/0!</v>
      </c>
    </row>
    <row r="681" spans="1:19" ht="47.25">
      <c r="A681" s="1" t="s">
        <v>736</v>
      </c>
      <c r="B681" s="10" t="s">
        <v>240</v>
      </c>
      <c r="C681" s="10" t="s">
        <v>11</v>
      </c>
      <c r="D681" s="10" t="s">
        <v>302</v>
      </c>
      <c r="E681" s="10"/>
      <c r="F681" s="46"/>
      <c r="G681" s="10"/>
      <c r="H681" s="46">
        <f>H682</f>
        <v>39000</v>
      </c>
      <c r="I681" s="10" t="s">
        <v>376</v>
      </c>
      <c r="J681" s="46">
        <f>J682</f>
        <v>39000</v>
      </c>
      <c r="K681" s="10"/>
      <c r="L681" s="46">
        <f>L682</f>
        <v>39000</v>
      </c>
      <c r="M681" s="10"/>
      <c r="N681" s="46">
        <f>N682</f>
        <v>39000</v>
      </c>
      <c r="O681" s="10"/>
      <c r="P681" s="46">
        <f>P682</f>
        <v>39000</v>
      </c>
      <c r="R681" s="46">
        <f>R682</f>
        <v>8713</v>
      </c>
      <c r="S681" s="117">
        <f t="shared" si="30"/>
        <v>22.34102564102564</v>
      </c>
    </row>
    <row r="682" spans="1:19" ht="15.75">
      <c r="A682" s="1" t="s">
        <v>327</v>
      </c>
      <c r="B682" s="10" t="s">
        <v>240</v>
      </c>
      <c r="C682" s="10" t="s">
        <v>11</v>
      </c>
      <c r="D682" s="10" t="s">
        <v>302</v>
      </c>
      <c r="E682" s="10" t="s">
        <v>326</v>
      </c>
      <c r="F682" s="46"/>
      <c r="G682" s="10" t="s">
        <v>513</v>
      </c>
      <c r="H682" s="46">
        <f>F682+G682</f>
        <v>39000</v>
      </c>
      <c r="I682" s="10" t="s">
        <v>376</v>
      </c>
      <c r="J682" s="46">
        <f>H682+I682</f>
        <v>39000</v>
      </c>
      <c r="K682" s="10"/>
      <c r="L682" s="46">
        <f>J682+K682</f>
        <v>39000</v>
      </c>
      <c r="M682" s="10"/>
      <c r="N682" s="46">
        <f>L682+M682</f>
        <v>39000</v>
      </c>
      <c r="O682" s="10"/>
      <c r="P682" s="46">
        <f>N682+O682</f>
        <v>39000</v>
      </c>
      <c r="R682" s="46">
        <v>8713</v>
      </c>
      <c r="S682" s="117">
        <f t="shared" si="30"/>
        <v>22.34102564102564</v>
      </c>
    </row>
    <row r="683" spans="1:19" ht="15.75">
      <c r="A683" s="1" t="s">
        <v>141</v>
      </c>
      <c r="B683" s="10" t="s">
        <v>240</v>
      </c>
      <c r="C683" s="10" t="s">
        <v>216</v>
      </c>
      <c r="D683" s="10"/>
      <c r="E683" s="10"/>
      <c r="F683" s="46">
        <f>F684</f>
        <v>0</v>
      </c>
      <c r="G683" s="10"/>
      <c r="H683" s="46">
        <f>H684</f>
        <v>2066900</v>
      </c>
      <c r="I683" s="10" t="s">
        <v>376</v>
      </c>
      <c r="J683" s="46">
        <f>J684</f>
        <v>7543000</v>
      </c>
      <c r="K683" s="10"/>
      <c r="L683" s="46">
        <f>L684</f>
        <v>7672000</v>
      </c>
      <c r="M683" s="10"/>
      <c r="N683" s="46">
        <f>N684</f>
        <v>12434033</v>
      </c>
      <c r="O683" s="10"/>
      <c r="P683" s="46">
        <f>P684</f>
        <v>23794732</v>
      </c>
      <c r="R683" s="46">
        <f>R684</f>
        <v>12694907.52</v>
      </c>
      <c r="S683" s="117">
        <f t="shared" si="30"/>
        <v>53.351756682949826</v>
      </c>
    </row>
    <row r="684" spans="1:19" ht="63">
      <c r="A684" s="1" t="s">
        <v>109</v>
      </c>
      <c r="B684" s="10" t="s">
        <v>240</v>
      </c>
      <c r="C684" s="10" t="s">
        <v>216</v>
      </c>
      <c r="D684" s="10" t="s">
        <v>13</v>
      </c>
      <c r="E684" s="10"/>
      <c r="F684" s="45">
        <f>F685</f>
        <v>0</v>
      </c>
      <c r="G684" s="10"/>
      <c r="H684" s="45">
        <f>H685</f>
        <v>2066900</v>
      </c>
      <c r="I684" s="10"/>
      <c r="J684" s="45">
        <f>J685</f>
        <v>7543000</v>
      </c>
      <c r="K684" s="10"/>
      <c r="L684" s="45">
        <f>L685</f>
        <v>7672000</v>
      </c>
      <c r="M684" s="10"/>
      <c r="N684" s="45">
        <f>N685</f>
        <v>12434033</v>
      </c>
      <c r="O684" s="10"/>
      <c r="P684" s="45">
        <f>P685</f>
        <v>23794732</v>
      </c>
      <c r="R684" s="45">
        <f>R685</f>
        <v>12694907.52</v>
      </c>
      <c r="S684" s="117">
        <f t="shared" si="30"/>
        <v>53.351756682949826</v>
      </c>
    </row>
    <row r="685" spans="1:19" ht="47.25">
      <c r="A685" s="1" t="s">
        <v>95</v>
      </c>
      <c r="B685" s="10" t="s">
        <v>240</v>
      </c>
      <c r="C685" s="10" t="s">
        <v>216</v>
      </c>
      <c r="D685" s="10" t="s">
        <v>14</v>
      </c>
      <c r="E685" s="10"/>
      <c r="F685" s="45">
        <f>F686</f>
        <v>0</v>
      </c>
      <c r="G685" s="10"/>
      <c r="H685" s="45">
        <f>H686</f>
        <v>2066900</v>
      </c>
      <c r="I685" s="10"/>
      <c r="J685" s="45">
        <f>J686</f>
        <v>7543000</v>
      </c>
      <c r="K685" s="10"/>
      <c r="L685" s="45">
        <f>L686</f>
        <v>7672000</v>
      </c>
      <c r="M685" s="10"/>
      <c r="N685" s="45">
        <f>N686</f>
        <v>12434033</v>
      </c>
      <c r="O685" s="10"/>
      <c r="P685" s="45">
        <f>P686</f>
        <v>23794732</v>
      </c>
      <c r="R685" s="45">
        <f>R686</f>
        <v>12694907.52</v>
      </c>
      <c r="S685" s="117">
        <f t="shared" si="30"/>
        <v>53.351756682949826</v>
      </c>
    </row>
    <row r="686" spans="1:19" ht="31.5">
      <c r="A686" s="5" t="s">
        <v>237</v>
      </c>
      <c r="B686" s="12" t="s">
        <v>240</v>
      </c>
      <c r="C686" s="10" t="s">
        <v>216</v>
      </c>
      <c r="D686" s="12" t="s">
        <v>238</v>
      </c>
      <c r="E686" s="12"/>
      <c r="F686" s="45">
        <f>F687</f>
        <v>0</v>
      </c>
      <c r="G686" s="12"/>
      <c r="H686" s="45">
        <f>H687</f>
        <v>2066900</v>
      </c>
      <c r="I686" s="12"/>
      <c r="J686" s="45">
        <f>J687</f>
        <v>7543000</v>
      </c>
      <c r="K686" s="12"/>
      <c r="L686" s="45">
        <f>L687</f>
        <v>7672000</v>
      </c>
      <c r="M686" s="12"/>
      <c r="N686" s="45">
        <f>N687</f>
        <v>12434033</v>
      </c>
      <c r="O686" s="12"/>
      <c r="P686" s="45">
        <f>P687</f>
        <v>23794732</v>
      </c>
      <c r="R686" s="45">
        <f>R687</f>
        <v>12694907.52</v>
      </c>
      <c r="S686" s="117">
        <f t="shared" si="30"/>
        <v>53.351756682949826</v>
      </c>
    </row>
    <row r="687" spans="1:19" ht="34.5" customHeight="1">
      <c r="A687" s="5" t="s">
        <v>237</v>
      </c>
      <c r="B687" s="12" t="s">
        <v>240</v>
      </c>
      <c r="C687" s="10" t="s">
        <v>216</v>
      </c>
      <c r="D687" s="12" t="s">
        <v>238</v>
      </c>
      <c r="E687" s="12" t="s">
        <v>351</v>
      </c>
      <c r="F687" s="46">
        <v>0</v>
      </c>
      <c r="G687" s="12" t="s">
        <v>527</v>
      </c>
      <c r="H687" s="46">
        <f>F687+G687</f>
        <v>2066900</v>
      </c>
      <c r="I687" s="12" t="s">
        <v>579</v>
      </c>
      <c r="J687" s="46">
        <f>H687+I687</f>
        <v>7543000</v>
      </c>
      <c r="K687" s="12" t="s">
        <v>617</v>
      </c>
      <c r="L687" s="46">
        <f>J687+K687</f>
        <v>7672000</v>
      </c>
      <c r="M687" s="101">
        <f>4757064+4969</f>
        <v>4762033</v>
      </c>
      <c r="N687" s="46">
        <f>L687+M687</f>
        <v>12434033</v>
      </c>
      <c r="O687" s="101">
        <f>1846564+9514135</f>
        <v>11360699</v>
      </c>
      <c r="P687" s="46">
        <f>N687+O687</f>
        <v>23794732</v>
      </c>
      <c r="R687" s="46">
        <v>12694907.52</v>
      </c>
      <c r="S687" s="117">
        <f t="shared" si="30"/>
        <v>53.351756682949826</v>
      </c>
    </row>
    <row r="688" spans="1:19" ht="31.5">
      <c r="A688" s="3" t="s">
        <v>140</v>
      </c>
      <c r="B688" s="8" t="s">
        <v>240</v>
      </c>
      <c r="C688" s="8" t="s">
        <v>234</v>
      </c>
      <c r="D688" s="8"/>
      <c r="E688" s="8"/>
      <c r="F688" s="49">
        <f>F689</f>
        <v>0</v>
      </c>
      <c r="G688" s="8"/>
      <c r="H688" s="49">
        <f>H689</f>
        <v>2987900</v>
      </c>
      <c r="I688" s="8"/>
      <c r="J688" s="49">
        <f>J689</f>
        <v>2987900</v>
      </c>
      <c r="K688" s="8"/>
      <c r="L688" s="49">
        <f>L689</f>
        <v>2987900</v>
      </c>
      <c r="M688" s="8"/>
      <c r="N688" s="49">
        <f>N689</f>
        <v>2987900</v>
      </c>
      <c r="O688" s="8"/>
      <c r="P688" s="49">
        <f>P689</f>
        <v>2987900</v>
      </c>
      <c r="R688" s="49">
        <f>R689</f>
        <v>750605.44</v>
      </c>
      <c r="S688" s="117">
        <f t="shared" si="30"/>
        <v>25.12150473576759</v>
      </c>
    </row>
    <row r="689" spans="1:19" ht="31.5">
      <c r="A689" s="3" t="s">
        <v>370</v>
      </c>
      <c r="B689" s="8" t="s">
        <v>240</v>
      </c>
      <c r="C689" s="8" t="s">
        <v>235</v>
      </c>
      <c r="D689" s="8" t="s">
        <v>12</v>
      </c>
      <c r="E689" s="8"/>
      <c r="F689" s="49">
        <f>F690</f>
        <v>0</v>
      </c>
      <c r="G689" s="8"/>
      <c r="H689" s="49">
        <f>H690</f>
        <v>2987900</v>
      </c>
      <c r="I689" s="8"/>
      <c r="J689" s="49">
        <f>J690</f>
        <v>2987900</v>
      </c>
      <c r="K689" s="8"/>
      <c r="L689" s="49">
        <f>L690</f>
        <v>2987900</v>
      </c>
      <c r="M689" s="8"/>
      <c r="N689" s="49">
        <f>N690</f>
        <v>2987900</v>
      </c>
      <c r="O689" s="8"/>
      <c r="P689" s="49">
        <f>P690</f>
        <v>2987900</v>
      </c>
      <c r="R689" s="49">
        <f>R690</f>
        <v>750605.44</v>
      </c>
      <c r="S689" s="117">
        <f t="shared" si="30"/>
        <v>25.12150473576759</v>
      </c>
    </row>
    <row r="690" spans="1:19" ht="31.5" customHeight="1">
      <c r="A690" s="3" t="s">
        <v>267</v>
      </c>
      <c r="B690" s="8" t="s">
        <v>240</v>
      </c>
      <c r="C690" s="8" t="s">
        <v>235</v>
      </c>
      <c r="D690" s="8" t="s">
        <v>94</v>
      </c>
      <c r="E690" s="8" t="s">
        <v>354</v>
      </c>
      <c r="F690" s="45">
        <v>0</v>
      </c>
      <c r="G690" s="8" t="s">
        <v>528</v>
      </c>
      <c r="H690" s="45">
        <f>F690+G690</f>
        <v>2987900</v>
      </c>
      <c r="I690" s="8" t="s">
        <v>376</v>
      </c>
      <c r="J690" s="45">
        <f>H690+I690</f>
        <v>2987900</v>
      </c>
      <c r="K690" s="8"/>
      <c r="L690" s="45">
        <f>J690+K690</f>
        <v>2987900</v>
      </c>
      <c r="M690" s="8"/>
      <c r="N690" s="45">
        <f>L690+M690</f>
        <v>2987900</v>
      </c>
      <c r="O690" s="8"/>
      <c r="P690" s="45">
        <f>N690+O690</f>
        <v>2987900</v>
      </c>
      <c r="R690" s="45">
        <v>750605.44</v>
      </c>
      <c r="S690" s="117">
        <f t="shared" si="30"/>
        <v>25.12150473576759</v>
      </c>
    </row>
    <row r="691" spans="1:19" ht="48" customHeight="1" hidden="1">
      <c r="A691" s="20"/>
      <c r="B691" s="38"/>
      <c r="C691" s="38"/>
      <c r="D691" s="38"/>
      <c r="E691" s="38"/>
      <c r="F691" s="58"/>
      <c r="G691" s="38"/>
      <c r="H691" s="58"/>
      <c r="I691" s="38"/>
      <c r="J691" s="58"/>
      <c r="K691" s="38"/>
      <c r="L691" s="58"/>
      <c r="M691" s="38"/>
      <c r="N691" s="58"/>
      <c r="O691" s="38"/>
      <c r="P691" s="58"/>
      <c r="R691" s="58"/>
      <c r="S691" s="117" t="e">
        <f t="shared" si="30"/>
        <v>#DIV/0!</v>
      </c>
    </row>
    <row r="692" spans="1:19" ht="15.75" hidden="1">
      <c r="A692" s="3"/>
      <c r="B692" s="39"/>
      <c r="C692" s="39"/>
      <c r="D692" s="39"/>
      <c r="E692" s="39"/>
      <c r="F692" s="45"/>
      <c r="G692" s="39"/>
      <c r="H692" s="45"/>
      <c r="I692" s="39"/>
      <c r="J692" s="45"/>
      <c r="K692" s="39"/>
      <c r="L692" s="45"/>
      <c r="M692" s="39"/>
      <c r="N692" s="45"/>
      <c r="O692" s="39"/>
      <c r="P692" s="45"/>
      <c r="R692" s="45"/>
      <c r="S692" s="117" t="e">
        <f t="shared" si="30"/>
        <v>#DIV/0!</v>
      </c>
    </row>
    <row r="693" spans="1:19" ht="15.75" hidden="1">
      <c r="A693" s="3"/>
      <c r="B693" s="39"/>
      <c r="C693" s="39"/>
      <c r="D693" s="39"/>
      <c r="E693" s="39"/>
      <c r="F693" s="45"/>
      <c r="G693" s="39"/>
      <c r="H693" s="45"/>
      <c r="I693" s="39"/>
      <c r="J693" s="45"/>
      <c r="K693" s="39"/>
      <c r="L693" s="45"/>
      <c r="M693" s="39"/>
      <c r="N693" s="45"/>
      <c r="O693" s="39"/>
      <c r="P693" s="45"/>
      <c r="R693" s="45"/>
      <c r="S693" s="117" t="e">
        <f t="shared" si="30"/>
        <v>#DIV/0!</v>
      </c>
    </row>
    <row r="694" spans="1:19" ht="15.75" hidden="1">
      <c r="A694" s="3"/>
      <c r="B694" s="39"/>
      <c r="C694" s="39"/>
      <c r="D694" s="39"/>
      <c r="E694" s="39"/>
      <c r="F694" s="45"/>
      <c r="G694" s="39"/>
      <c r="H694" s="45"/>
      <c r="I694" s="39"/>
      <c r="J694" s="45"/>
      <c r="K694" s="39"/>
      <c r="L694" s="45"/>
      <c r="M694" s="39"/>
      <c r="N694" s="45"/>
      <c r="O694" s="39"/>
      <c r="P694" s="45"/>
      <c r="R694" s="45"/>
      <c r="S694" s="117" t="e">
        <f t="shared" si="30"/>
        <v>#DIV/0!</v>
      </c>
    </row>
    <row r="695" spans="1:19" ht="15.75" hidden="1">
      <c r="A695" s="3"/>
      <c r="B695" s="39"/>
      <c r="C695" s="39"/>
      <c r="D695" s="39"/>
      <c r="E695" s="39"/>
      <c r="F695" s="45"/>
      <c r="G695" s="39"/>
      <c r="H695" s="45"/>
      <c r="I695" s="39"/>
      <c r="J695" s="45"/>
      <c r="K695" s="39"/>
      <c r="L695" s="45"/>
      <c r="M695" s="39"/>
      <c r="N695" s="45"/>
      <c r="O695" s="39"/>
      <c r="P695" s="45"/>
      <c r="R695" s="45"/>
      <c r="S695" s="117" t="e">
        <f t="shared" si="30"/>
        <v>#DIV/0!</v>
      </c>
    </row>
    <row r="696" spans="1:19" ht="15.75" hidden="1">
      <c r="A696" s="3"/>
      <c r="B696" s="39"/>
      <c r="C696" s="39"/>
      <c r="D696" s="39"/>
      <c r="E696" s="39"/>
      <c r="F696" s="45"/>
      <c r="G696" s="39"/>
      <c r="H696" s="45"/>
      <c r="I696" s="39"/>
      <c r="J696" s="45"/>
      <c r="K696" s="39"/>
      <c r="L696" s="45"/>
      <c r="M696" s="39"/>
      <c r="N696" s="45"/>
      <c r="O696" s="39"/>
      <c r="P696" s="45"/>
      <c r="R696" s="45"/>
      <c r="S696" s="117" t="e">
        <f t="shared" si="30"/>
        <v>#DIV/0!</v>
      </c>
    </row>
    <row r="697" spans="1:19" ht="15.75" hidden="1">
      <c r="A697" s="3"/>
      <c r="B697" s="39"/>
      <c r="C697" s="39"/>
      <c r="D697" s="39"/>
      <c r="E697" s="39"/>
      <c r="F697" s="45"/>
      <c r="G697" s="39"/>
      <c r="H697" s="45"/>
      <c r="I697" s="39"/>
      <c r="J697" s="45"/>
      <c r="K697" s="39"/>
      <c r="L697" s="45"/>
      <c r="M697" s="39"/>
      <c r="N697" s="45"/>
      <c r="O697" s="39"/>
      <c r="P697" s="45"/>
      <c r="R697" s="45"/>
      <c r="S697" s="117" t="e">
        <f t="shared" si="30"/>
        <v>#DIV/0!</v>
      </c>
    </row>
    <row r="698" spans="1:19" ht="15.75">
      <c r="A698" s="20" t="s">
        <v>177</v>
      </c>
      <c r="B698" s="23"/>
      <c r="C698" s="23"/>
      <c r="D698" s="23"/>
      <c r="E698" s="23"/>
      <c r="F698" s="42" t="e">
        <f>F12+F326+F377+F539+F620+F648+F666+F661</f>
        <v>#REF!</v>
      </c>
      <c r="G698" s="23"/>
      <c r="H698" s="42" t="e">
        <f>H12+H326+H377+H539+H620+H648+H666+H661</f>
        <v>#REF!</v>
      </c>
      <c r="I698" s="23"/>
      <c r="J698" s="42">
        <f>J12+J326+J377+J539+J620+J648+J666+J661</f>
        <v>780464700</v>
      </c>
      <c r="K698" s="23"/>
      <c r="L698" s="42">
        <f>L12+L326+L377+L539+L620+L648+L666+L661</f>
        <v>823895099</v>
      </c>
      <c r="M698" s="23"/>
      <c r="N698" s="42">
        <f>N12+N326+N377+N539+N620+N648+N666+N661</f>
        <v>875087255.4199998</v>
      </c>
      <c r="O698" s="23"/>
      <c r="P698" s="42">
        <f>P12+P326+P377+P539+P620+P648+P666+P661</f>
        <v>968415519.4200001</v>
      </c>
      <c r="Q698" s="99"/>
      <c r="R698" s="42">
        <f>R12+R326+R377+R539+R620+R648+R666+R661</f>
        <v>338237520.58000004</v>
      </c>
      <c r="S698" s="118">
        <f t="shared" si="30"/>
        <v>34.92690005449066</v>
      </c>
    </row>
    <row r="699" spans="1:15" ht="15.75">
      <c r="A699" s="2"/>
      <c r="B699" s="14"/>
      <c r="C699" s="14"/>
      <c r="D699" s="14"/>
      <c r="E699" s="14"/>
      <c r="G699" s="14"/>
      <c r="I699" s="14"/>
      <c r="K699" s="14"/>
      <c r="M699" s="14"/>
      <c r="O699" s="14"/>
    </row>
    <row r="702" ht="15.75">
      <c r="Q702" s="99"/>
    </row>
  </sheetData>
  <sheetProtection/>
  <mergeCells count="10">
    <mergeCell ref="R10:S10"/>
    <mergeCell ref="A7:S9"/>
    <mergeCell ref="D2:E5"/>
    <mergeCell ref="D6:P6"/>
    <mergeCell ref="A10:A11"/>
    <mergeCell ref="B10:B11"/>
    <mergeCell ref="C10:C11"/>
    <mergeCell ref="D10:D11"/>
    <mergeCell ref="E10:E11"/>
    <mergeCell ref="P10:P11"/>
  </mergeCells>
  <hyperlinks>
    <hyperlink ref="A534" r:id="rId1" display="consultantplus://offline/ref=EDEB0128DA12F6A991391BB484C27676828F870A827893936F6B74385748C936DB7C0C672286FF87B0AC43AEb9ZEG"/>
  </hyperlinks>
  <printOptions/>
  <pageMargins left="0.7874015748031497" right="0.7874015748031497" top="0" bottom="0" header="0.5118110236220472" footer="0.5118110236220472"/>
  <pageSetup fitToHeight="32" fitToWidth="1"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cvmih</cp:lastModifiedBy>
  <cp:lastPrinted>2013-07-23T10:40:43Z</cp:lastPrinted>
  <dcterms:created xsi:type="dcterms:W3CDTF">2007-07-11T08:12:53Z</dcterms:created>
  <dcterms:modified xsi:type="dcterms:W3CDTF">2013-07-24T10:57:13Z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