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<sst xmlns="http://schemas.openxmlformats.org/spreadsheetml/2006/main" count="2661" uniqueCount="751">
  <si>
    <t>Организация деятельности органа местного самоуправления в сфере образования ( прочий персонал)</t>
  </si>
  <si>
    <t>Создание дополнительных мест в муниципальных стстемах дошкольного образования</t>
  </si>
  <si>
    <t>субсидии на осуществление капитальных вложений бюджетным и автономным учреждениям</t>
  </si>
  <si>
    <t>0210625000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</si>
  <si>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</si>
  <si>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</si>
  <si>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</si>
  <si>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11103R0180</t>
  </si>
  <si>
    <t>Развитие газификации в сельской местности  за счет средств областного бюджета</t>
  </si>
  <si>
    <t>Резервные фонды местных администраций</t>
  </si>
  <si>
    <t>0710122000</t>
  </si>
  <si>
    <t>0510128000</t>
  </si>
  <si>
    <t>Расходы на осуществление гос.полномочий по составлению списков кандидатов в присяжные заседатели федеральных судов  общей юрисдикции за счет средств фед.бюджета</t>
  </si>
  <si>
    <t>апрель</t>
  </si>
  <si>
    <t>Специальные услуги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</si>
  <si>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</si>
  <si>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</si>
  <si>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</si>
  <si>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Капитальный ремонт, привидение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</si>
  <si>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0250245800</t>
  </si>
  <si>
    <t>Обеспечение меры социальной поддержки по бесплатному получению художественного образования  в муниципальных учреждениях дополнительного образования</t>
  </si>
  <si>
    <t>0320246600</t>
  </si>
  <si>
    <t>Информационное обеспечение  деятельности земельного бюро</t>
  </si>
  <si>
    <t>0130722000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</si>
  <si>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</si>
  <si>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0930142Б00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</si>
  <si>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</si>
  <si>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</si>
  <si>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11201R0180</t>
  </si>
  <si>
    <t>Разработка документации по планировке территории за счет средств областного бюджета</t>
  </si>
  <si>
    <t>0400143600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</si>
  <si>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</si>
  <si>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</si>
  <si>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</si>
  <si>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</si>
  <si>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</si>
  <si>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</si>
  <si>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</si>
  <si>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</si>
  <si>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областного бюджета в 2016году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</si>
  <si>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средств федерального бюджета в 2016году</t>
  </si>
  <si>
    <t>03101R0140</t>
  </si>
  <si>
    <t>0310150140</t>
  </si>
  <si>
    <t>Расходы на информатизацию  муниципальных библиотек, в т.ч на комплектование книжных фондов(включая приобретение электронных версий книг и приобретение периодических изданий), приобретение  компьютерного  оборудования,лицензионного программного обеспечения и подключение библиотек к сети Интернет,на создание модельных сельских библиотек</t>
  </si>
  <si>
    <t>0310346500</t>
  </si>
  <si>
    <t>ноябрь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</si>
  <si>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</si>
  <si>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</si>
  <si>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</si>
  <si>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</si>
  <si>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Содержание отдела субсидий</t>
  </si>
  <si>
    <t>0980349100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</si>
  <si>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</si>
  <si>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</si>
  <si>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0820251200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</si>
  <si>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</si>
  <si>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</si>
  <si>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</si>
  <si>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</si>
  <si>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</si>
  <si>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</si>
  <si>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</si>
  <si>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</si>
  <si>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</si>
  <si>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</si>
  <si>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</si>
  <si>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</si>
  <si>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</si>
  <si>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</si>
  <si>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</si>
  <si>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</si>
  <si>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</si>
  <si>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</si>
  <si>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</si>
  <si>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Выплата денежного поощрения лучшим работникам культуры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</si>
  <si>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</si>
  <si>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</si>
  <si>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</si>
  <si>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</si>
  <si>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</si>
  <si>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</si>
  <si>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</si>
  <si>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</si>
  <si>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</si>
  <si>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</si>
  <si>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</si>
  <si>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</si>
  <si>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</si>
  <si>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</si>
  <si>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</si>
  <si>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</si>
  <si>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</si>
  <si>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</si>
  <si>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</si>
  <si>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</si>
  <si>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</si>
  <si>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</si>
  <si>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</si>
  <si>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</si>
  <si>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</si>
  <si>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</si>
  <si>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</si>
  <si>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</si>
  <si>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</si>
  <si>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</si>
  <si>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</si>
  <si>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</si>
  <si>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</si>
  <si>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</si>
  <si>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</si>
  <si>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</si>
  <si>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</si>
  <si>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</si>
  <si>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</si>
  <si>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</si>
  <si>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</si>
  <si>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</si>
  <si>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</si>
  <si>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</si>
  <si>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</si>
  <si>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</si>
  <si>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</si>
  <si>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</si>
  <si>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</si>
  <si>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</si>
  <si>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</si>
  <si>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</si>
  <si>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</si>
  <si>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</si>
  <si>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</si>
  <si>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</si>
  <si>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</si>
  <si>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</si>
  <si>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</si>
  <si>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</si>
  <si>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</si>
  <si>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</si>
  <si>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</si>
  <si>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</si>
  <si>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</si>
  <si>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</si>
  <si>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</si>
  <si>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</si>
  <si>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</si>
  <si>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</si>
  <si>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</si>
  <si>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</si>
  <si>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</si>
  <si>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</si>
  <si>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</si>
  <si>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</si>
  <si>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</si>
  <si>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</si>
  <si>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</si>
  <si>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</si>
  <si>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</si>
  <si>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</si>
  <si>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</si>
  <si>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</si>
  <si>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</si>
  <si>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</si>
  <si>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</si>
  <si>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</si>
  <si>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</si>
  <si>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</si>
  <si>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</si>
  <si>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</si>
  <si>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</si>
  <si>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</si>
  <si>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</si>
  <si>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</si>
  <si>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</si>
  <si>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</si>
  <si>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</si>
  <si>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</si>
  <si>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</si>
  <si>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</si>
  <si>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</si>
  <si>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</si>
  <si>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</si>
  <si>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</si>
  <si>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</si>
  <si>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</si>
  <si>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</si>
  <si>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</si>
  <si>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</si>
  <si>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</si>
  <si>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</si>
  <si>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Расходы на комплектование книжных фондов библиотек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подписку, за счет средств федерального бюджета в 2016 году</t>
  </si>
  <si>
    <t>0310351440</t>
  </si>
  <si>
    <t>1006</t>
  </si>
  <si>
    <t>Процентые платежи по  муниципальному долгу</t>
  </si>
  <si>
    <t>0200000</t>
  </si>
  <si>
    <t>Суммасредств, предусмотрен-ная в бюджете на 2016 год. в рублях</t>
  </si>
  <si>
    <t>Расходы бюджета, осуществляемые в 2016 году</t>
  </si>
  <si>
    <t>в рублях</t>
  </si>
  <si>
    <t>в %</t>
  </si>
  <si>
    <t>03110R0140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</si>
  <si>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</si>
  <si>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</si>
  <si>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</si>
  <si>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</si>
  <si>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</si>
  <si>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</si>
  <si>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</si>
  <si>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</si>
  <si>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</si>
  <si>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</si>
  <si>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</si>
  <si>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</si>
  <si>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</si>
  <si>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</si>
  <si>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</si>
  <si>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</si>
  <si>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</si>
  <si>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</si>
  <si>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</si>
  <si>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</si>
  <si>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</si>
  <si>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</si>
  <si>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</si>
  <si>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</si>
  <si>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</si>
  <si>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</si>
  <si>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</si>
  <si>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</si>
  <si>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</si>
  <si>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</si>
  <si>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</si>
  <si>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</si>
  <si>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</si>
  <si>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</si>
  <si>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</si>
  <si>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</si>
  <si>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</si>
  <si>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</si>
  <si>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</si>
  <si>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</si>
  <si>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</si>
  <si>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</si>
  <si>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</si>
  <si>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</si>
  <si>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</si>
  <si>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</si>
  <si>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</si>
  <si>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</si>
  <si>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</si>
  <si>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</si>
  <si>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</si>
  <si>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</si>
  <si>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</si>
  <si>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</si>
  <si>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</si>
  <si>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</si>
  <si>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</si>
  <si>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</si>
  <si>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</si>
  <si>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</si>
  <si>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</si>
  <si>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</si>
  <si>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</si>
  <si>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</si>
  <si>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</si>
  <si>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</si>
  <si>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</si>
  <si>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</si>
  <si>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</si>
  <si>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</si>
  <si>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</si>
  <si>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</si>
  <si>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</si>
  <si>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</si>
  <si>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</si>
  <si>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</si>
  <si>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</si>
  <si>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</si>
  <si>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</si>
  <si>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</si>
  <si>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</si>
  <si>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</si>
  <si>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</si>
  <si>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</si>
  <si>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</si>
  <si>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</si>
  <si>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</si>
  <si>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</si>
  <si>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</si>
  <si>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</si>
  <si>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</si>
  <si>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</si>
  <si>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</si>
  <si>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</si>
  <si>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</si>
  <si>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</si>
  <si>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</si>
  <si>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</si>
  <si>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</si>
  <si>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</si>
  <si>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</si>
  <si>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</si>
  <si>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</si>
  <si>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7000029200</t>
  </si>
  <si>
    <t>840</t>
  </si>
  <si>
    <t>Исполнение гарантий муниципального образования</t>
  </si>
  <si>
    <t>Исполнение муниципальных гарантий  без права регрессного требования  гаранта к  принципалу</t>
  </si>
  <si>
    <t>0960654620</t>
  </si>
  <si>
    <t>Субвенции на компенсацию отдельным категориям граждан оплаты взноса на капитальный ремонт общего имущества в многоквартирном доме за счет средств федерального бюджета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</si>
  <si>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</si>
  <si>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</si>
  <si>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</si>
  <si>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</si>
  <si>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</si>
  <si>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</si>
  <si>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</si>
  <si>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</si>
  <si>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</si>
  <si>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</si>
  <si>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</si>
  <si>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</si>
  <si>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</si>
  <si>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</si>
  <si>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</si>
  <si>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</si>
  <si>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</si>
  <si>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</si>
  <si>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</si>
  <si>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</si>
  <si>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</si>
  <si>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</si>
  <si>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</si>
  <si>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</si>
  <si>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</si>
  <si>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</si>
  <si>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</si>
  <si>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</si>
  <si>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</si>
  <si>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</si>
  <si>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</si>
  <si>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</si>
  <si>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</si>
  <si>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</si>
  <si>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</si>
  <si>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</si>
  <si>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</si>
  <si>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</si>
  <si>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</si>
  <si>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</si>
  <si>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</si>
  <si>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Ведомственная структура расходов бюджета МО Красноуфимский округ на 2016 год</t>
  </si>
  <si>
    <t>0810121000</t>
  </si>
  <si>
    <t>0810000000</t>
  </si>
  <si>
    <t>0800000000</t>
  </si>
  <si>
    <t>081П121000</t>
  </si>
  <si>
    <t>0810421000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</si>
  <si>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</si>
  <si>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</si>
  <si>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</si>
  <si>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</si>
  <si>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</si>
  <si>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</si>
  <si>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</si>
  <si>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</si>
  <si>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</si>
  <si>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</si>
  <si>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</si>
  <si>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</si>
  <si>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</si>
  <si>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</si>
  <si>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</si>
  <si>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</si>
  <si>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</si>
  <si>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</si>
  <si>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</si>
  <si>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</si>
  <si>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</si>
  <si>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</si>
  <si>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</si>
  <si>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</si>
  <si>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</si>
  <si>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</si>
  <si>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</si>
  <si>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</si>
  <si>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</si>
  <si>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</si>
  <si>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</si>
  <si>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</si>
  <si>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</si>
  <si>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</si>
  <si>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</si>
  <si>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</si>
  <si>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</si>
  <si>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</si>
  <si>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</si>
  <si>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</si>
  <si>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</si>
  <si>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</si>
  <si>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</si>
  <si>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</si>
  <si>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</si>
  <si>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</si>
  <si>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</si>
  <si>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</si>
  <si>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</si>
  <si>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</si>
  <si>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</si>
  <si>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</si>
  <si>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</si>
  <si>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</si>
  <si>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</si>
  <si>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</si>
  <si>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</si>
  <si>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</si>
  <si>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</si>
  <si>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</si>
  <si>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</si>
  <si>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</si>
  <si>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</si>
  <si>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</si>
  <si>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</si>
  <si>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</si>
  <si>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</si>
  <si>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</si>
  <si>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</si>
  <si>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</si>
  <si>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</si>
  <si>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</si>
  <si>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</si>
  <si>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</si>
  <si>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</si>
  <si>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</si>
  <si>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</si>
  <si>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</si>
  <si>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</si>
  <si>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</si>
  <si>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</si>
  <si>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</si>
  <si>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</si>
  <si>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</si>
  <si>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</si>
  <si>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</si>
  <si>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</si>
  <si>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</si>
  <si>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</si>
  <si>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</si>
  <si>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</si>
  <si>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</si>
  <si>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</si>
  <si>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</si>
  <si>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</si>
  <si>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</si>
  <si>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</si>
  <si>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</si>
  <si>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</si>
  <si>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</si>
  <si>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</si>
  <si>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</si>
  <si>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</si>
  <si>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</si>
  <si>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</si>
  <si>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</si>
  <si>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</si>
  <si>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</si>
  <si>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</si>
  <si>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</si>
  <si>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</si>
  <si>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</si>
  <si>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</si>
  <si>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</si>
  <si>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</si>
  <si>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</si>
  <si>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</si>
  <si>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</si>
  <si>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</si>
  <si>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</si>
  <si>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</si>
  <si>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</si>
  <si>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</si>
  <si>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</si>
  <si>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</si>
  <si>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</si>
  <si>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</si>
  <si>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</si>
  <si>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</si>
  <si>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</si>
  <si>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</si>
  <si>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</si>
  <si>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</si>
  <si>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</si>
  <si>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</si>
  <si>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</si>
  <si>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</si>
  <si>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</si>
  <si>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</si>
  <si>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</si>
  <si>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</si>
  <si>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</si>
  <si>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</si>
  <si>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</si>
  <si>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</si>
  <si>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</si>
  <si>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</si>
  <si>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</si>
  <si>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</si>
  <si>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</si>
  <si>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</si>
  <si>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</si>
  <si>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</si>
  <si>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</si>
  <si>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</si>
  <si>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</si>
  <si>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</si>
  <si>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</si>
  <si>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</si>
  <si>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</si>
  <si>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</si>
  <si>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</si>
  <si>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</si>
  <si>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</si>
  <si>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</si>
  <si>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</si>
  <si>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</si>
  <si>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</si>
  <si>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</si>
  <si>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</si>
  <si>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</si>
  <si>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</si>
  <si>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</si>
  <si>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</si>
  <si>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</si>
  <si>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</si>
  <si>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</si>
  <si>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</si>
  <si>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</si>
  <si>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</si>
  <si>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</si>
  <si>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</si>
  <si>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</si>
  <si>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</si>
  <si>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</si>
  <si>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</si>
  <si>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</si>
  <si>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</si>
  <si>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</si>
  <si>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</si>
  <si>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</si>
  <si>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</si>
  <si>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</si>
  <si>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0310351470</t>
  </si>
  <si>
    <t>0310351480</t>
  </si>
  <si>
    <t>0310140700</t>
  </si>
  <si>
    <t>Резервный фонд Правительства Свердловской области</t>
  </si>
  <si>
    <t>Поощрения лучшим муниципальным учреждениям культуры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</si>
  <si>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</si>
  <si>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</si>
  <si>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</si>
  <si>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</si>
  <si>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</si>
  <si>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</si>
  <si>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</si>
  <si>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</si>
  <si>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</si>
  <si>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</si>
  <si>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</si>
  <si>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</si>
  <si>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</si>
  <si>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</si>
  <si>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</si>
  <si>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</si>
  <si>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</si>
  <si>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</si>
  <si>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</si>
  <si>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</si>
  <si>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</si>
  <si>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</si>
  <si>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</si>
  <si>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</si>
  <si>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</si>
  <si>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</si>
  <si>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</si>
  <si>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</si>
  <si>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</si>
  <si>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</si>
  <si>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</si>
  <si>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</si>
  <si>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</si>
  <si>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</si>
  <si>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</si>
  <si>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</si>
  <si>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</si>
  <si>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</si>
  <si>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</si>
  <si>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</si>
  <si>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</si>
  <si>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</si>
  <si>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</si>
  <si>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</si>
  <si>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</si>
  <si>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</si>
  <si>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</si>
  <si>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</si>
  <si>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</si>
  <si>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</si>
  <si>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</si>
  <si>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</si>
  <si>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</si>
  <si>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</si>
  <si>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</si>
  <si>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</si>
  <si>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</si>
  <si>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</si>
  <si>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</si>
  <si>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</si>
  <si>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</si>
  <si>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</si>
  <si>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</si>
  <si>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</si>
  <si>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</si>
  <si>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</si>
  <si>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</si>
  <si>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</si>
  <si>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</si>
  <si>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</si>
  <si>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</si>
  <si>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</si>
  <si>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</si>
  <si>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</si>
  <si>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</si>
  <si>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</si>
  <si>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</si>
  <si>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</si>
  <si>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</si>
  <si>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</si>
  <si>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0250125000</t>
  </si>
  <si>
    <t>Обеспечение мероприятий по укреплению и развитию материально-технической базы муниципальных образовательных организаций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</si>
  <si>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</si>
  <si>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</si>
  <si>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</si>
  <si>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</si>
  <si>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</si>
  <si>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</si>
  <si>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</si>
  <si>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</si>
  <si>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</si>
  <si>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</si>
  <si>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</si>
  <si>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</si>
  <si>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</si>
  <si>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</si>
  <si>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</si>
  <si>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</si>
  <si>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</si>
  <si>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</si>
  <si>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</si>
  <si>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</si>
  <si>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</si>
  <si>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</si>
  <si>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</si>
  <si>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</si>
  <si>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</si>
  <si>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</si>
  <si>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</si>
  <si>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</si>
  <si>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</si>
  <si>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</si>
  <si>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</si>
  <si>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</si>
  <si>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</si>
  <si>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</si>
  <si>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</si>
  <si>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</si>
  <si>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</si>
  <si>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</si>
  <si>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</si>
  <si>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</si>
  <si>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</si>
  <si>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</si>
  <si>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</si>
  <si>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</si>
  <si>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</si>
  <si>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</si>
  <si>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</si>
  <si>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</si>
  <si>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</si>
  <si>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</si>
  <si>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</si>
  <si>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</si>
  <si>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</si>
  <si>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</si>
  <si>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</si>
  <si>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</si>
  <si>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</si>
  <si>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</si>
  <si>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</si>
  <si>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</si>
  <si>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</si>
  <si>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</si>
  <si>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</si>
  <si>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</si>
  <si>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</si>
  <si>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</si>
  <si>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</si>
  <si>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</si>
  <si>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июнь</t>
  </si>
  <si>
    <t>830</t>
  </si>
  <si>
    <t>Исполнение судебных актов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</si>
  <si>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</si>
  <si>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0250950970</t>
  </si>
  <si>
    <t>Осуществление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</si>
  <si>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02509R0970</t>
  </si>
  <si>
    <t>0550150200</t>
  </si>
  <si>
    <t>05501R0200</t>
  </si>
  <si>
    <t>Предоставление субсидий молодым семьям на приобретение (строительство) жилья за счет средств областного бюджета</t>
  </si>
  <si>
    <t>Предоставление субсидий молодым семьям на приобретение (строительство) жилья за счет средств федерального бюджета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</si>
  <si>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</si>
  <si>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0252507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</si>
  <si>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</si>
  <si>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</si>
  <si>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</si>
  <si>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</si>
  <si>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</si>
  <si>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</si>
  <si>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</si>
  <si>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</si>
  <si>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0250345900</t>
  </si>
  <si>
    <t>Приобретение и (или)  замена, оснащение аппаратурой спутниковой навигации ГЛОНАСС, тахографами автобусов для подвоза 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</si>
  <si>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</si>
  <si>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</si>
  <si>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</si>
  <si>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</si>
  <si>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</si>
  <si>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</si>
  <si>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</si>
  <si>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</si>
  <si>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</si>
  <si>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</si>
  <si>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0942307</t>
  </si>
  <si>
    <t>Строительство объектов благоустройства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</si>
  <si>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</si>
  <si>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</si>
  <si>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</si>
  <si>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</si>
  <si>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</si>
  <si>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</si>
  <si>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</si>
  <si>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>декабрь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</si>
  <si>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</si>
  <si>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460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</si>
  <si>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</si>
  <si>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</si>
  <si>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</si>
  <si>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 xml:space="preserve">Приложение № 4                                                                       к решению Думы                     МО Красноуфимский округ                              от 13.06.2017 г. № 493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</si>
</sst>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  <numFmt numFmtId="178" formatCode="[$-FC19]d\ mmmm\ yyyy\ &quot;г.&quot;"/>
    <numFmt numFmtId="179" formatCode="000000"/>
  </numFmts>
  <fonts count="46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6" borderId="10" xfId="53" applyNumberFormat="1" applyFont="1" applyFill="1" applyBorder="1" applyAlignment="1">
      <alignment horizontal="left" vertical="top" wrapText="1"/>
      <protection/>
    </xf>
    <xf numFmtId="4" fontId="0" fillId="0" borderId="10" xfId="0" applyNumberFormat="1" applyBorder="1" applyAlignment="1">
      <alignment vertical="top"/>
    </xf>
    <xf numFmtId="0" fontId="7" fillId="37" borderId="10" xfId="53" applyNumberFormat="1" applyFont="1" applyFill="1" applyBorder="1" applyAlignment="1">
      <alignment vertical="top" wrapText="1"/>
      <protection/>
    </xf>
    <xf numFmtId="0" fontId="10" fillId="0" borderId="10" xfId="0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9" borderId="10" xfId="0" applyNumberFormat="1" applyFill="1" applyBorder="1" applyAlignment="1">
      <alignment/>
    </xf>
    <xf numFmtId="0" fontId="11" fillId="33" borderId="11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6"/>
  <sheetViews>
    <sheetView tabSelected="1" zoomScale="75" zoomScaleNormal="75" zoomScalePageLayoutView="0" workbookViewId="0" topLeftCell="A6">
      <pane xSplit="12" ySplit="6" topLeftCell="M77" activePane="bottomRight" state="frozen"/>
      <selection pane="topLeft" activeCell="A6" sqref="A6"/>
      <selection pane="topRight" activeCell="M6" sqref="M6"/>
      <selection pane="bottomLeft" activeCell="A11" sqref="A11"/>
      <selection pane="bottomRight" activeCell="T8" sqref="T8:U8"/>
    </sheetView>
  </sheetViews>
  <sheetFormatPr defaultColWidth="9.00390625" defaultRowHeight="15.75" outlineLevelRow="1"/>
  <cols>
    <col min="1" max="1" width="35.50390625" style="0" customWidth="1"/>
    <col min="2" max="2" width="9.625" style="0" customWidth="1"/>
    <col min="4" max="4" width="10.25390625" style="0" hidden="1" customWidth="1"/>
    <col min="5" max="5" width="11.375" style="0" customWidth="1"/>
    <col min="6" max="6" width="7.00390625" style="0" customWidth="1"/>
    <col min="7" max="7" width="13.25390625" style="0" hidden="1" customWidth="1"/>
    <col min="8" max="8" width="10.75390625" style="0" hidden="1" customWidth="1"/>
    <col min="9" max="11" width="14.00390625" style="0" hidden="1" customWidth="1"/>
    <col min="12" max="12" width="0.2421875" style="0" hidden="1" customWidth="1"/>
    <col min="13" max="13" width="14.625" style="0" hidden="1" customWidth="1"/>
    <col min="14" max="14" width="1.4921875" style="135" hidden="1" customWidth="1"/>
    <col min="15" max="15" width="15.125" style="0" hidden="1" customWidth="1"/>
    <col min="16" max="16" width="0.2421875" style="135" hidden="1" customWidth="1"/>
    <col min="17" max="17" width="1.25" style="0" hidden="1" customWidth="1"/>
    <col min="18" max="18" width="6.25390625" style="135" hidden="1" customWidth="1"/>
    <col min="19" max="20" width="14.75390625" style="0" customWidth="1"/>
    <col min="21" max="21" width="12.25390625" style="0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159</v>
      </c>
      <c r="B2" s="2"/>
      <c r="C2" s="2"/>
      <c r="D2" s="166"/>
      <c r="E2" s="166"/>
      <c r="F2" s="167"/>
    </row>
    <row r="3" spans="1:6" ht="18.75" customHeight="1" hidden="1">
      <c r="A3" s="3"/>
      <c r="B3" s="4" t="s">
        <v>160</v>
      </c>
      <c r="C3" s="4"/>
      <c r="D3" s="167"/>
      <c r="E3" s="167"/>
      <c r="F3" s="167"/>
    </row>
    <row r="4" spans="1:6" ht="39.75" customHeight="1" hidden="1">
      <c r="A4" s="3"/>
      <c r="B4" s="4"/>
      <c r="C4" s="4"/>
      <c r="D4" s="167"/>
      <c r="E4" s="167"/>
      <c r="F4" s="167"/>
    </row>
    <row r="5" spans="1:6" ht="18.75" customHeight="1" hidden="1">
      <c r="A5" s="3"/>
      <c r="B5" s="4"/>
      <c r="C5" s="4"/>
      <c r="D5" s="167"/>
      <c r="E5" s="167"/>
      <c r="F5" s="167"/>
    </row>
    <row r="6" spans="1:6" ht="1.5" customHeight="1">
      <c r="A6" s="3"/>
      <c r="B6" s="4"/>
      <c r="C6" s="4"/>
      <c r="D6" s="83"/>
      <c r="E6" s="83"/>
      <c r="F6" s="83"/>
    </row>
    <row r="7" spans="1:6" ht="18.75" customHeight="1" hidden="1">
      <c r="A7" s="3"/>
      <c r="B7" s="4"/>
      <c r="C7" s="4"/>
      <c r="D7" s="83"/>
      <c r="E7" s="83"/>
      <c r="F7" s="83"/>
    </row>
    <row r="8" spans="1:21" ht="64.5" customHeight="1">
      <c r="A8" s="3"/>
      <c r="B8" s="5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4" t="s">
        <v>750</v>
      </c>
      <c r="U8" s="165"/>
    </row>
    <row r="9" spans="1:21" ht="36" customHeight="1">
      <c r="A9" s="163" t="s">
        <v>348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21" ht="36" customHeight="1">
      <c r="A10" s="157" t="s">
        <v>167</v>
      </c>
      <c r="B10" s="157" t="s">
        <v>84</v>
      </c>
      <c r="C10" s="157" t="s">
        <v>85</v>
      </c>
      <c r="D10" s="145"/>
      <c r="E10" s="157" t="s">
        <v>56</v>
      </c>
      <c r="F10" s="157" t="s">
        <v>87</v>
      </c>
      <c r="G10" s="145"/>
      <c r="H10" s="146"/>
      <c r="I10" s="146"/>
      <c r="J10" s="146"/>
      <c r="K10" s="146"/>
      <c r="L10" s="147"/>
      <c r="M10" s="147"/>
      <c r="N10" s="147"/>
      <c r="O10" s="147"/>
      <c r="P10" s="147"/>
      <c r="Q10" s="147"/>
      <c r="R10" s="148"/>
      <c r="S10" s="159" t="s">
        <v>193</v>
      </c>
      <c r="T10" s="161" t="s">
        <v>194</v>
      </c>
      <c r="U10" s="162"/>
    </row>
    <row r="11" spans="1:21" ht="39" customHeight="1">
      <c r="A11" s="158"/>
      <c r="B11" s="158"/>
      <c r="C11" s="158"/>
      <c r="D11" s="144" t="s">
        <v>86</v>
      </c>
      <c r="E11" s="158"/>
      <c r="F11" s="158"/>
      <c r="G11" s="149" t="s">
        <v>88</v>
      </c>
      <c r="H11" s="150" t="s">
        <v>4</v>
      </c>
      <c r="I11" s="149" t="s">
        <v>88</v>
      </c>
      <c r="J11" s="151" t="s">
        <v>13</v>
      </c>
      <c r="K11" s="152" t="s">
        <v>88</v>
      </c>
      <c r="L11" s="151" t="s">
        <v>702</v>
      </c>
      <c r="M11" s="152" t="s">
        <v>88</v>
      </c>
      <c r="N11" s="153" t="s">
        <v>637</v>
      </c>
      <c r="O11" s="152" t="s">
        <v>88</v>
      </c>
      <c r="P11" s="154" t="s">
        <v>45</v>
      </c>
      <c r="Q11" s="152" t="s">
        <v>88</v>
      </c>
      <c r="R11" s="155" t="s">
        <v>744</v>
      </c>
      <c r="S11" s="160"/>
      <c r="T11" s="156" t="s">
        <v>195</v>
      </c>
      <c r="U11" s="156" t="s">
        <v>196</v>
      </c>
    </row>
    <row r="12" spans="1:21" ht="33" customHeight="1">
      <c r="A12" s="8" t="s">
        <v>183</v>
      </c>
      <c r="B12" s="44">
        <v>901</v>
      </c>
      <c r="C12" s="45"/>
      <c r="D12" s="45"/>
      <c r="E12" s="45"/>
      <c r="F12" s="45"/>
      <c r="G12" s="73">
        <f>G13+G74+G80+G109++G169+G224+G230+G244+G305</f>
        <v>240990780</v>
      </c>
      <c r="H12" s="112"/>
      <c r="I12" s="73">
        <f>I13+I74+I80+I109++I169+I224+I230+I244+I305</f>
        <v>251104510.66</v>
      </c>
      <c r="J12" s="113"/>
      <c r="K12" s="73">
        <f>K13+K74+K80+K109++K169+K224+K230+K244+K305</f>
        <v>260997220.86</v>
      </c>
      <c r="L12" s="112"/>
      <c r="M12" s="73">
        <f>M13+M74+M80+M109++M169+M224+M230+M244+M305</f>
        <v>261720969.86</v>
      </c>
      <c r="N12" s="113"/>
      <c r="O12" s="73">
        <f>O13+O74+O80+O109++O169+O224+O230+O244+O305</f>
        <v>259756877.91</v>
      </c>
      <c r="P12" s="113"/>
      <c r="Q12" s="73">
        <f>Q13+Q74+Q80+Q109++Q169+Q224+Q230+Q244+Q305</f>
        <v>262064287.75999996</v>
      </c>
      <c r="R12" s="113"/>
      <c r="S12" s="73">
        <f>S13+S74+S80+S109++S169+S224+S230+S244+S305</f>
        <v>302476696.42</v>
      </c>
      <c r="T12" s="73">
        <f>T13+T74+T80+T109++T169+T224+T230+T244+T305</f>
        <v>249986885.45999992</v>
      </c>
      <c r="U12" s="72">
        <f>IF(S12=0,"-",IF(T12/S12*100&gt;110,"свыше 100",ROUND((T12/S12*100),1)))</f>
        <v>82.6</v>
      </c>
    </row>
    <row r="13" spans="1:21" ht="23.25" customHeight="1">
      <c r="A13" s="9" t="s">
        <v>141</v>
      </c>
      <c r="B13" s="45">
        <v>901</v>
      </c>
      <c r="C13" s="45" t="s">
        <v>89</v>
      </c>
      <c r="D13" s="45"/>
      <c r="E13" s="45"/>
      <c r="F13" s="45"/>
      <c r="G13" s="74">
        <f>G18+G41+G38+G35</f>
        <v>67597020</v>
      </c>
      <c r="H13" s="112"/>
      <c r="I13" s="74">
        <f>I18+I41+I38+I35</f>
        <v>67500220</v>
      </c>
      <c r="J13" s="112"/>
      <c r="K13" s="74">
        <f>K18+K41+K38+K35</f>
        <v>67484620.15</v>
      </c>
      <c r="L13" s="112"/>
      <c r="M13" s="74">
        <f>M18+M41+M38+M35</f>
        <v>68331885.65</v>
      </c>
      <c r="N13" s="113"/>
      <c r="O13" s="74">
        <f>O18+O41+O38+O35</f>
        <v>68304677.32</v>
      </c>
      <c r="P13" s="113"/>
      <c r="Q13" s="74">
        <f>Q18+Q41+Q38+Q35+Q14</f>
        <v>67034913.32</v>
      </c>
      <c r="R13" s="113"/>
      <c r="S13" s="74">
        <f>S18+S41+S38+S35+S14</f>
        <v>75208160.91</v>
      </c>
      <c r="T13" s="74">
        <f>T18+T41+T38+T35+T14</f>
        <v>74165536.89999999</v>
      </c>
      <c r="U13" s="56">
        <f aca="true" t="shared" si="0" ref="U13:U76">IF(S13=0,"-",IF(T13/S13*100&gt;110,"свыше 100",ROUND((T13/S13*100),1)))</f>
        <v>98.6</v>
      </c>
    </row>
    <row r="14" spans="1:21" ht="57.75" customHeight="1">
      <c r="A14" s="14" t="s">
        <v>127</v>
      </c>
      <c r="B14" s="45" t="s">
        <v>114</v>
      </c>
      <c r="C14" s="45" t="s">
        <v>90</v>
      </c>
      <c r="D14" s="45" t="s">
        <v>642</v>
      </c>
      <c r="E14" s="45" t="s">
        <v>390</v>
      </c>
      <c r="F14" s="45"/>
      <c r="G14" s="74"/>
      <c r="H14" s="112"/>
      <c r="I14" s="74"/>
      <c r="J14" s="112"/>
      <c r="K14" s="74"/>
      <c r="L14" s="112"/>
      <c r="M14" s="74"/>
      <c r="N14" s="113"/>
      <c r="O14" s="74"/>
      <c r="P14" s="113"/>
      <c r="Q14" s="74">
        <f>Q15</f>
        <v>296824</v>
      </c>
      <c r="R14" s="113"/>
      <c r="S14" s="74">
        <f aca="true" t="shared" si="1" ref="S14:T16">S15</f>
        <v>354190</v>
      </c>
      <c r="T14" s="74">
        <f t="shared" si="1"/>
        <v>354189.49</v>
      </c>
      <c r="U14" s="56">
        <f t="shared" si="0"/>
        <v>100</v>
      </c>
    </row>
    <row r="15" spans="1:21" ht="70.5" customHeight="1">
      <c r="A15" s="14" t="s">
        <v>128</v>
      </c>
      <c r="B15" s="45" t="s">
        <v>114</v>
      </c>
      <c r="C15" s="45" t="s">
        <v>90</v>
      </c>
      <c r="D15" s="45" t="s">
        <v>642</v>
      </c>
      <c r="E15" s="45" t="s">
        <v>390</v>
      </c>
      <c r="F15" s="45"/>
      <c r="G15" s="74"/>
      <c r="H15" s="112"/>
      <c r="I15" s="74"/>
      <c r="J15" s="112"/>
      <c r="K15" s="74"/>
      <c r="L15" s="112"/>
      <c r="M15" s="74"/>
      <c r="N15" s="113"/>
      <c r="O15" s="74"/>
      <c r="P15" s="113"/>
      <c r="Q15" s="74">
        <f>Q16</f>
        <v>296824</v>
      </c>
      <c r="R15" s="113"/>
      <c r="S15" s="74">
        <f t="shared" si="1"/>
        <v>354190</v>
      </c>
      <c r="T15" s="74">
        <f t="shared" si="1"/>
        <v>354189.49</v>
      </c>
      <c r="U15" s="56">
        <f t="shared" si="0"/>
        <v>100</v>
      </c>
    </row>
    <row r="16" spans="1:21" ht="21" customHeight="1">
      <c r="A16" s="14" t="s">
        <v>129</v>
      </c>
      <c r="B16" s="45" t="s">
        <v>114</v>
      </c>
      <c r="C16" s="45" t="s">
        <v>90</v>
      </c>
      <c r="D16" s="45" t="s">
        <v>642</v>
      </c>
      <c r="E16" s="45" t="s">
        <v>390</v>
      </c>
      <c r="F16" s="45"/>
      <c r="G16" s="74"/>
      <c r="H16" s="112"/>
      <c r="I16" s="74"/>
      <c r="J16" s="112"/>
      <c r="K16" s="74"/>
      <c r="L16" s="112"/>
      <c r="M16" s="74"/>
      <c r="N16" s="113"/>
      <c r="O16" s="74"/>
      <c r="P16" s="113"/>
      <c r="Q16" s="74">
        <f>Q17</f>
        <v>296824</v>
      </c>
      <c r="R16" s="113"/>
      <c r="S16" s="74">
        <f t="shared" si="1"/>
        <v>354190</v>
      </c>
      <c r="T16" s="74">
        <f t="shared" si="1"/>
        <v>354189.49</v>
      </c>
      <c r="U16" s="56">
        <f t="shared" si="0"/>
        <v>100</v>
      </c>
    </row>
    <row r="17" spans="1:21" ht="31.5" customHeight="1">
      <c r="A17" s="33" t="s">
        <v>48</v>
      </c>
      <c r="B17" s="45" t="s">
        <v>114</v>
      </c>
      <c r="C17" s="45" t="s">
        <v>90</v>
      </c>
      <c r="D17" s="45" t="s">
        <v>642</v>
      </c>
      <c r="E17" s="45" t="s">
        <v>390</v>
      </c>
      <c r="F17" s="45" t="s">
        <v>67</v>
      </c>
      <c r="G17" s="74"/>
      <c r="H17" s="112"/>
      <c r="I17" s="74"/>
      <c r="J17" s="112"/>
      <c r="K17" s="74"/>
      <c r="L17" s="112"/>
      <c r="M17" s="74"/>
      <c r="N17" s="113"/>
      <c r="O17" s="74"/>
      <c r="P17" s="113">
        <f>338824-42000</f>
        <v>296824</v>
      </c>
      <c r="Q17" s="74">
        <f>O17+P17</f>
        <v>296824</v>
      </c>
      <c r="R17" s="113">
        <f>24536+32830</f>
        <v>57366</v>
      </c>
      <c r="S17" s="74">
        <f>Q17+R17</f>
        <v>354190</v>
      </c>
      <c r="T17" s="74">
        <v>354189.49</v>
      </c>
      <c r="U17" s="56">
        <f t="shared" si="0"/>
        <v>100</v>
      </c>
    </row>
    <row r="18" spans="1:21" ht="81" customHeight="1">
      <c r="A18" s="11" t="s">
        <v>559</v>
      </c>
      <c r="B18" s="45" t="s">
        <v>114</v>
      </c>
      <c r="C18" s="45" t="s">
        <v>92</v>
      </c>
      <c r="D18" s="45" t="s">
        <v>560</v>
      </c>
      <c r="E18" s="45" t="s">
        <v>351</v>
      </c>
      <c r="F18" s="45"/>
      <c r="G18" s="74">
        <f>G19+G32</f>
        <v>27894330</v>
      </c>
      <c r="H18" s="113"/>
      <c r="I18" s="74">
        <f>I19+I32</f>
        <v>27894330</v>
      </c>
      <c r="J18" s="112"/>
      <c r="K18" s="74">
        <f>K19+K32</f>
        <v>27890330</v>
      </c>
      <c r="L18" s="112"/>
      <c r="M18" s="74">
        <f>M19+M32</f>
        <v>27890330</v>
      </c>
      <c r="N18" s="113"/>
      <c r="O18" s="74">
        <f>O19+O32</f>
        <v>27888151.67</v>
      </c>
      <c r="P18" s="113"/>
      <c r="Q18" s="74">
        <f>Q19+Q32</f>
        <v>27590627.67</v>
      </c>
      <c r="R18" s="113"/>
      <c r="S18" s="74">
        <f>S19+S32</f>
        <v>27251863.429999996</v>
      </c>
      <c r="T18" s="74">
        <f>T19+T32</f>
        <v>27083165.64</v>
      </c>
      <c r="U18" s="56">
        <f t="shared" si="0"/>
        <v>99.4</v>
      </c>
    </row>
    <row r="19" spans="1:21" ht="81" customHeight="1">
      <c r="A19" s="11" t="s">
        <v>561</v>
      </c>
      <c r="B19" s="45" t="s">
        <v>114</v>
      </c>
      <c r="C19" s="45" t="s">
        <v>92</v>
      </c>
      <c r="D19" s="45" t="s">
        <v>562</v>
      </c>
      <c r="E19" s="45" t="s">
        <v>350</v>
      </c>
      <c r="F19" s="45"/>
      <c r="G19" s="74">
        <f>G20+G28+G26+G24</f>
        <v>27849330</v>
      </c>
      <c r="H19" s="112"/>
      <c r="I19" s="74">
        <f>I20+I28+I26+I24</f>
        <v>27849330</v>
      </c>
      <c r="J19" s="112"/>
      <c r="K19" s="74">
        <f>K20+K28+K26+K24</f>
        <v>27845330</v>
      </c>
      <c r="L19" s="112"/>
      <c r="M19" s="74">
        <f>M20+M28+M26+M24</f>
        <v>27845330</v>
      </c>
      <c r="N19" s="113"/>
      <c r="O19" s="74">
        <f>O20+O28+O26+O24</f>
        <v>27843151.67</v>
      </c>
      <c r="P19" s="113"/>
      <c r="Q19" s="74">
        <f>Q20+Q28+Q26+Q24</f>
        <v>27590627.67</v>
      </c>
      <c r="R19" s="113"/>
      <c r="S19" s="74">
        <f>S20+S28+S26+S24</f>
        <v>27251863.429999996</v>
      </c>
      <c r="T19" s="74">
        <f>T20+T28+T26+T24</f>
        <v>27083165.64</v>
      </c>
      <c r="U19" s="56">
        <f t="shared" si="0"/>
        <v>99.4</v>
      </c>
    </row>
    <row r="20" spans="1:21" ht="50.25" customHeight="1">
      <c r="A20" s="12" t="s">
        <v>563</v>
      </c>
      <c r="B20" s="45" t="s">
        <v>114</v>
      </c>
      <c r="C20" s="45" t="s">
        <v>92</v>
      </c>
      <c r="D20" s="45" t="s">
        <v>558</v>
      </c>
      <c r="E20" s="45" t="s">
        <v>349</v>
      </c>
      <c r="F20" s="45"/>
      <c r="G20" s="74">
        <f>G21+G22+G23</f>
        <v>10937170</v>
      </c>
      <c r="H20" s="112"/>
      <c r="I20" s="74">
        <f>I21+I22+I23</f>
        <v>10937170</v>
      </c>
      <c r="J20" s="112"/>
      <c r="K20" s="74">
        <f>K21+K22+K23</f>
        <v>10933170</v>
      </c>
      <c r="L20" s="112"/>
      <c r="M20" s="74">
        <f>M21+M22+M23</f>
        <v>10933170</v>
      </c>
      <c r="N20" s="113"/>
      <c r="O20" s="74">
        <f>O21+O22+O23</f>
        <v>10930991.67</v>
      </c>
      <c r="P20" s="113"/>
      <c r="Q20" s="74">
        <f>Q21+Q22+Q23</f>
        <v>10453991.67</v>
      </c>
      <c r="R20" s="113"/>
      <c r="S20" s="74">
        <f>S21+S22+S23</f>
        <v>10391219.67</v>
      </c>
      <c r="T20" s="74">
        <f>T21+T22+T23</f>
        <v>10327338.17</v>
      </c>
      <c r="U20" s="56">
        <f t="shared" si="0"/>
        <v>99.4</v>
      </c>
    </row>
    <row r="21" spans="1:21" ht="42" customHeight="1">
      <c r="A21" s="12" t="s">
        <v>48</v>
      </c>
      <c r="B21" s="45" t="s">
        <v>114</v>
      </c>
      <c r="C21" s="45" t="s">
        <v>92</v>
      </c>
      <c r="D21" s="45" t="s">
        <v>558</v>
      </c>
      <c r="E21" s="45" t="s">
        <v>349</v>
      </c>
      <c r="F21" s="45" t="s">
        <v>67</v>
      </c>
      <c r="G21" s="74">
        <v>10236053</v>
      </c>
      <c r="H21" s="112">
        <v>31600</v>
      </c>
      <c r="I21" s="74">
        <f>G21+H21</f>
        <v>10267653</v>
      </c>
      <c r="J21" s="112"/>
      <c r="K21" s="74">
        <f>I21+J21</f>
        <v>10267653</v>
      </c>
      <c r="L21" s="112"/>
      <c r="M21" s="74">
        <f>K21+L21</f>
        <v>10267653</v>
      </c>
      <c r="N21" s="113"/>
      <c r="O21" s="74">
        <f>M21+N21</f>
        <v>10267653</v>
      </c>
      <c r="P21" s="113">
        <v>-477000</v>
      </c>
      <c r="Q21" s="74">
        <f>O21+P21</f>
        <v>9790653</v>
      </c>
      <c r="R21" s="113">
        <v>-62772</v>
      </c>
      <c r="S21" s="74">
        <f>Q21+R21</f>
        <v>9727881</v>
      </c>
      <c r="T21" s="74">
        <v>9693629.84</v>
      </c>
      <c r="U21" s="56">
        <f t="shared" si="0"/>
        <v>99.6</v>
      </c>
    </row>
    <row r="22" spans="1:21" ht="41.25" customHeight="1">
      <c r="A22" s="11" t="s">
        <v>68</v>
      </c>
      <c r="B22" s="45" t="s">
        <v>114</v>
      </c>
      <c r="C22" s="45" t="s">
        <v>92</v>
      </c>
      <c r="D22" s="45" t="s">
        <v>558</v>
      </c>
      <c r="E22" s="45" t="s">
        <v>349</v>
      </c>
      <c r="F22" s="45" t="s">
        <v>59</v>
      </c>
      <c r="G22" s="74">
        <v>699117</v>
      </c>
      <c r="H22" s="112">
        <v>-31600</v>
      </c>
      <c r="I22" s="74">
        <f>G22+H22</f>
        <v>667517</v>
      </c>
      <c r="J22" s="112">
        <v>-4000</v>
      </c>
      <c r="K22" s="74">
        <f>I22+J22</f>
        <v>663517</v>
      </c>
      <c r="L22" s="112"/>
      <c r="M22" s="74">
        <f>K22+L22</f>
        <v>663517</v>
      </c>
      <c r="N22" s="113">
        <v>-2178.33</v>
      </c>
      <c r="O22" s="74">
        <f>M22+N22</f>
        <v>661338.67</v>
      </c>
      <c r="P22" s="113"/>
      <c r="Q22" s="74">
        <f>O22+P22</f>
        <v>661338.67</v>
      </c>
      <c r="R22" s="113"/>
      <c r="S22" s="74">
        <f>Q22+R22</f>
        <v>661338.67</v>
      </c>
      <c r="T22" s="74">
        <v>633508.33</v>
      </c>
      <c r="U22" s="56">
        <f t="shared" si="0"/>
        <v>95.8</v>
      </c>
    </row>
    <row r="23" spans="1:21" ht="27" customHeight="1">
      <c r="A23" s="11" t="s">
        <v>62</v>
      </c>
      <c r="B23" s="45" t="s">
        <v>114</v>
      </c>
      <c r="C23" s="45" t="s">
        <v>92</v>
      </c>
      <c r="D23" s="45" t="s">
        <v>558</v>
      </c>
      <c r="E23" s="45" t="s">
        <v>349</v>
      </c>
      <c r="F23" s="45" t="s">
        <v>61</v>
      </c>
      <c r="G23" s="74">
        <v>2000</v>
      </c>
      <c r="H23" s="112"/>
      <c r="I23" s="74">
        <f>G23+H23</f>
        <v>2000</v>
      </c>
      <c r="J23" s="112"/>
      <c r="K23" s="74">
        <f>I23+J23</f>
        <v>2000</v>
      </c>
      <c r="L23" s="112"/>
      <c r="M23" s="74">
        <f>K23+L23</f>
        <v>2000</v>
      </c>
      <c r="N23" s="113"/>
      <c r="O23" s="74">
        <f>M23+N23</f>
        <v>2000</v>
      </c>
      <c r="P23" s="113"/>
      <c r="Q23" s="74">
        <f>O23+P23</f>
        <v>2000</v>
      </c>
      <c r="R23" s="113"/>
      <c r="S23" s="74">
        <f>Q23+R23</f>
        <v>2000</v>
      </c>
      <c r="T23" s="74">
        <v>200</v>
      </c>
      <c r="U23" s="56">
        <f t="shared" si="0"/>
        <v>10</v>
      </c>
    </row>
    <row r="24" spans="1:21" ht="48.75" customHeight="1">
      <c r="A24" s="36" t="s">
        <v>687</v>
      </c>
      <c r="B24" s="45" t="s">
        <v>114</v>
      </c>
      <c r="C24" s="45" t="s">
        <v>92</v>
      </c>
      <c r="D24" s="45" t="s">
        <v>688</v>
      </c>
      <c r="E24" s="45" t="s">
        <v>352</v>
      </c>
      <c r="F24" s="45"/>
      <c r="G24" s="74">
        <f>G25</f>
        <v>894618</v>
      </c>
      <c r="H24" s="112"/>
      <c r="I24" s="74">
        <f>I25</f>
        <v>894618</v>
      </c>
      <c r="J24" s="112"/>
      <c r="K24" s="74">
        <f>K25</f>
        <v>894618</v>
      </c>
      <c r="L24" s="112"/>
      <c r="M24" s="74">
        <f>M25</f>
        <v>894618</v>
      </c>
      <c r="N24" s="113"/>
      <c r="O24" s="74">
        <f>O25</f>
        <v>894618</v>
      </c>
      <c r="P24" s="113"/>
      <c r="Q24" s="74">
        <f>Q25</f>
        <v>1054618</v>
      </c>
      <c r="R24" s="113"/>
      <c r="S24" s="74">
        <f>S25</f>
        <v>1060024</v>
      </c>
      <c r="T24" s="74">
        <f>T25</f>
        <v>1054238.42</v>
      </c>
      <c r="U24" s="56">
        <f t="shared" si="0"/>
        <v>99.5</v>
      </c>
    </row>
    <row r="25" spans="1:21" ht="35.25" customHeight="1">
      <c r="A25" s="12" t="s">
        <v>48</v>
      </c>
      <c r="B25" s="45" t="s">
        <v>114</v>
      </c>
      <c r="C25" s="45" t="s">
        <v>92</v>
      </c>
      <c r="D25" s="45" t="s">
        <v>688</v>
      </c>
      <c r="E25" s="45" t="s">
        <v>352</v>
      </c>
      <c r="F25" s="45" t="s">
        <v>67</v>
      </c>
      <c r="G25" s="74">
        <v>894618</v>
      </c>
      <c r="H25" s="112"/>
      <c r="I25" s="74">
        <f>G25+H25</f>
        <v>894618</v>
      </c>
      <c r="J25" s="112"/>
      <c r="K25" s="74">
        <f>I25+J25</f>
        <v>894618</v>
      </c>
      <c r="L25" s="112"/>
      <c r="M25" s="74">
        <f>K25+L25</f>
        <v>894618</v>
      </c>
      <c r="N25" s="113"/>
      <c r="O25" s="74">
        <f>M25+N25</f>
        <v>894618</v>
      </c>
      <c r="P25" s="113">
        <v>160000</v>
      </c>
      <c r="Q25" s="74">
        <f>O25+P25</f>
        <v>1054618</v>
      </c>
      <c r="R25" s="113">
        <f>-24536+29942</f>
        <v>5406</v>
      </c>
      <c r="S25" s="74">
        <f>Q25+R25</f>
        <v>1060024</v>
      </c>
      <c r="T25" s="74">
        <v>1054238.42</v>
      </c>
      <c r="U25" s="56">
        <f t="shared" si="0"/>
        <v>99.5</v>
      </c>
    </row>
    <row r="26" spans="1:21" ht="33" customHeight="1">
      <c r="A26" s="9" t="s">
        <v>564</v>
      </c>
      <c r="B26" s="45" t="s">
        <v>114</v>
      </c>
      <c r="C26" s="45" t="s">
        <v>92</v>
      </c>
      <c r="D26" s="45" t="s">
        <v>565</v>
      </c>
      <c r="E26" s="45" t="s">
        <v>353</v>
      </c>
      <c r="F26" s="45"/>
      <c r="G26" s="75">
        <f>G27</f>
        <v>1156188</v>
      </c>
      <c r="H26" s="112"/>
      <c r="I26" s="75">
        <f>I27</f>
        <v>1156188</v>
      </c>
      <c r="J26" s="112"/>
      <c r="K26" s="75">
        <f>K27</f>
        <v>1156188</v>
      </c>
      <c r="L26" s="112"/>
      <c r="M26" s="75">
        <f>M27</f>
        <v>1156188</v>
      </c>
      <c r="N26" s="113"/>
      <c r="O26" s="75">
        <f>O27</f>
        <v>1156188</v>
      </c>
      <c r="P26" s="113"/>
      <c r="Q26" s="75">
        <f>Q27</f>
        <v>1518188</v>
      </c>
      <c r="R26" s="113"/>
      <c r="S26" s="75">
        <f>S27</f>
        <v>1402023.06</v>
      </c>
      <c r="T26" s="75">
        <f>T27</f>
        <v>1402023.06</v>
      </c>
      <c r="U26" s="56">
        <f t="shared" si="0"/>
        <v>100</v>
      </c>
    </row>
    <row r="27" spans="1:21" ht="33" customHeight="1">
      <c r="A27" s="12" t="s">
        <v>48</v>
      </c>
      <c r="B27" s="45" t="s">
        <v>114</v>
      </c>
      <c r="C27" s="45" t="s">
        <v>92</v>
      </c>
      <c r="D27" s="45" t="s">
        <v>565</v>
      </c>
      <c r="E27" s="45" t="s">
        <v>353</v>
      </c>
      <c r="F27" s="45" t="s">
        <v>67</v>
      </c>
      <c r="G27" s="75">
        <v>1156188</v>
      </c>
      <c r="H27" s="112"/>
      <c r="I27" s="75">
        <f>G27+H27</f>
        <v>1156188</v>
      </c>
      <c r="J27" s="112"/>
      <c r="K27" s="75">
        <f>I27+J27</f>
        <v>1156188</v>
      </c>
      <c r="L27" s="112"/>
      <c r="M27" s="75">
        <f>K27+L27</f>
        <v>1156188</v>
      </c>
      <c r="N27" s="113"/>
      <c r="O27" s="75">
        <f>M27+N27</f>
        <v>1156188</v>
      </c>
      <c r="P27" s="113">
        <v>362000</v>
      </c>
      <c r="Q27" s="75">
        <f>O27+P27</f>
        <v>1518188</v>
      </c>
      <c r="R27" s="113">
        <v>-116164.94</v>
      </c>
      <c r="S27" s="75">
        <f>Q27+R27</f>
        <v>1402023.06</v>
      </c>
      <c r="T27" s="75">
        <v>1402023.06</v>
      </c>
      <c r="U27" s="56">
        <f t="shared" si="0"/>
        <v>100</v>
      </c>
    </row>
    <row r="28" spans="1:21" ht="46.5" customHeight="1">
      <c r="A28" s="13" t="s">
        <v>566</v>
      </c>
      <c r="B28" s="45">
        <v>901</v>
      </c>
      <c r="C28" s="45" t="s">
        <v>92</v>
      </c>
      <c r="D28" s="45" t="s">
        <v>567</v>
      </c>
      <c r="E28" s="45" t="s">
        <v>354</v>
      </c>
      <c r="F28" s="45"/>
      <c r="G28" s="75">
        <f>G29+G30</f>
        <v>14861354</v>
      </c>
      <c r="H28" s="112"/>
      <c r="I28" s="75">
        <f>I29+I30</f>
        <v>14861354</v>
      </c>
      <c r="J28" s="112"/>
      <c r="K28" s="75">
        <f>K29+K30</f>
        <v>14861354</v>
      </c>
      <c r="L28" s="112"/>
      <c r="M28" s="75">
        <f>M29+M30</f>
        <v>14861354</v>
      </c>
      <c r="N28" s="113"/>
      <c r="O28" s="75">
        <f>O29+O30</f>
        <v>14861354</v>
      </c>
      <c r="P28" s="113"/>
      <c r="Q28" s="75">
        <f>Q29+Q30</f>
        <v>14563830</v>
      </c>
      <c r="R28" s="113"/>
      <c r="S28" s="75">
        <f>S29+S30+S31</f>
        <v>14398596.7</v>
      </c>
      <c r="T28" s="75">
        <f>T29+T30+T31</f>
        <v>14299565.99</v>
      </c>
      <c r="U28" s="56">
        <f t="shared" si="0"/>
        <v>99.3</v>
      </c>
    </row>
    <row r="29" spans="1:21" ht="32.25" customHeight="1">
      <c r="A29" s="12" t="s">
        <v>48</v>
      </c>
      <c r="B29" s="45">
        <v>901</v>
      </c>
      <c r="C29" s="45" t="s">
        <v>92</v>
      </c>
      <c r="D29" s="45" t="s">
        <v>567</v>
      </c>
      <c r="E29" s="45" t="s">
        <v>354</v>
      </c>
      <c r="F29" s="45" t="s">
        <v>67</v>
      </c>
      <c r="G29" s="75">
        <v>14221892</v>
      </c>
      <c r="H29" s="112"/>
      <c r="I29" s="75">
        <f>G29+H29</f>
        <v>14221892</v>
      </c>
      <c r="J29" s="112">
        <v>200</v>
      </c>
      <c r="K29" s="75">
        <f>I29+J29</f>
        <v>14222092</v>
      </c>
      <c r="L29" s="112">
        <v>5453</v>
      </c>
      <c r="M29" s="75">
        <f>K29+L29</f>
        <v>14227545</v>
      </c>
      <c r="N29" s="113"/>
      <c r="O29" s="75">
        <f>M29+N29</f>
        <v>14227545</v>
      </c>
      <c r="P29" s="113">
        <f>-276024-21500</f>
        <v>-297524</v>
      </c>
      <c r="Q29" s="75">
        <f>O29+P29</f>
        <v>13930021</v>
      </c>
      <c r="R29" s="113">
        <f>-69016.98-45362.77</f>
        <v>-114379.75</v>
      </c>
      <c r="S29" s="75">
        <f>Q29+R29</f>
        <v>13815641.25</v>
      </c>
      <c r="T29" s="75">
        <v>13733814.02</v>
      </c>
      <c r="U29" s="56">
        <f t="shared" si="0"/>
        <v>99.4</v>
      </c>
    </row>
    <row r="30" spans="1:21" ht="33" customHeight="1">
      <c r="A30" s="11" t="s">
        <v>68</v>
      </c>
      <c r="B30" s="45">
        <v>901</v>
      </c>
      <c r="C30" s="45" t="s">
        <v>92</v>
      </c>
      <c r="D30" s="45" t="s">
        <v>567</v>
      </c>
      <c r="E30" s="45" t="s">
        <v>354</v>
      </c>
      <c r="F30" s="45" t="s">
        <v>59</v>
      </c>
      <c r="G30" s="74">
        <v>639462</v>
      </c>
      <c r="H30" s="112"/>
      <c r="I30" s="75">
        <f>G30+H30</f>
        <v>639462</v>
      </c>
      <c r="J30" s="112">
        <v>-200</v>
      </c>
      <c r="K30" s="75">
        <f>I30+J30</f>
        <v>639262</v>
      </c>
      <c r="L30" s="112">
        <v>-5453</v>
      </c>
      <c r="M30" s="75">
        <f>K30+L30</f>
        <v>633809</v>
      </c>
      <c r="N30" s="113"/>
      <c r="O30" s="75">
        <f>M30+N30</f>
        <v>633809</v>
      </c>
      <c r="P30" s="113"/>
      <c r="Q30" s="75">
        <f>O30+P30</f>
        <v>633809</v>
      </c>
      <c r="R30" s="113">
        <f>-40505.96-10547.59</f>
        <v>-51053.55</v>
      </c>
      <c r="S30" s="75">
        <f>Q30+R30</f>
        <v>582755.45</v>
      </c>
      <c r="T30" s="75">
        <v>565551.97</v>
      </c>
      <c r="U30" s="56">
        <f t="shared" si="0"/>
        <v>97</v>
      </c>
    </row>
    <row r="31" spans="1:21" ht="20.25" customHeight="1">
      <c r="A31" s="15" t="s">
        <v>62</v>
      </c>
      <c r="B31" s="45">
        <v>901</v>
      </c>
      <c r="C31" s="45" t="s">
        <v>92</v>
      </c>
      <c r="D31" s="45" t="s">
        <v>567</v>
      </c>
      <c r="E31" s="45" t="s">
        <v>354</v>
      </c>
      <c r="F31" s="45" t="s">
        <v>61</v>
      </c>
      <c r="G31" s="74"/>
      <c r="H31" s="112"/>
      <c r="I31" s="75"/>
      <c r="J31" s="112"/>
      <c r="K31" s="75"/>
      <c r="L31" s="112"/>
      <c r="M31" s="75"/>
      <c r="N31" s="113"/>
      <c r="O31" s="75"/>
      <c r="P31" s="113"/>
      <c r="Q31" s="75"/>
      <c r="R31" s="113">
        <v>200</v>
      </c>
      <c r="S31" s="75">
        <f>Q31+R31</f>
        <v>200</v>
      </c>
      <c r="T31" s="75">
        <v>200</v>
      </c>
      <c r="U31" s="56">
        <f t="shared" si="0"/>
        <v>100</v>
      </c>
    </row>
    <row r="32" spans="1:21" ht="48.75" customHeight="1" hidden="1" outlineLevel="1">
      <c r="A32" s="11" t="s">
        <v>568</v>
      </c>
      <c r="B32" s="45" t="s">
        <v>114</v>
      </c>
      <c r="C32" s="45" t="s">
        <v>92</v>
      </c>
      <c r="D32" s="45" t="s">
        <v>570</v>
      </c>
      <c r="E32" s="45" t="s">
        <v>355</v>
      </c>
      <c r="F32" s="45"/>
      <c r="G32" s="74">
        <f>G33</f>
        <v>45000</v>
      </c>
      <c r="H32" s="112"/>
      <c r="I32" s="74">
        <f>I33</f>
        <v>45000</v>
      </c>
      <c r="J32" s="112"/>
      <c r="K32" s="74">
        <f>K33</f>
        <v>45000</v>
      </c>
      <c r="L32" s="112"/>
      <c r="M32" s="74">
        <f>M33</f>
        <v>45000</v>
      </c>
      <c r="N32" s="113"/>
      <c r="O32" s="74">
        <f>O33</f>
        <v>45000</v>
      </c>
      <c r="P32" s="113"/>
      <c r="Q32" s="74">
        <f>Q33</f>
        <v>0</v>
      </c>
      <c r="R32" s="113"/>
      <c r="S32" s="74">
        <f>S33</f>
        <v>0</v>
      </c>
      <c r="T32" s="74">
        <f>T33</f>
        <v>0</v>
      </c>
      <c r="U32" s="56" t="str">
        <f t="shared" si="0"/>
        <v>-</v>
      </c>
    </row>
    <row r="33" spans="1:21" ht="33.75" customHeight="1" hidden="1" outlineLevel="1">
      <c r="A33" s="15" t="s">
        <v>569</v>
      </c>
      <c r="B33" s="45" t="s">
        <v>114</v>
      </c>
      <c r="C33" s="45" t="s">
        <v>92</v>
      </c>
      <c r="D33" s="45" t="s">
        <v>656</v>
      </c>
      <c r="E33" s="45" t="s">
        <v>356</v>
      </c>
      <c r="F33" s="45"/>
      <c r="G33" s="74">
        <f>G34</f>
        <v>45000</v>
      </c>
      <c r="H33" s="112"/>
      <c r="I33" s="74">
        <f>I34</f>
        <v>45000</v>
      </c>
      <c r="J33" s="112"/>
      <c r="K33" s="74">
        <f>K34</f>
        <v>45000</v>
      </c>
      <c r="L33" s="112"/>
      <c r="M33" s="74">
        <f>M34</f>
        <v>45000</v>
      </c>
      <c r="N33" s="113"/>
      <c r="O33" s="74">
        <f>O34</f>
        <v>45000</v>
      </c>
      <c r="P33" s="113"/>
      <c r="Q33" s="74">
        <f>Q34</f>
        <v>0</v>
      </c>
      <c r="R33" s="113"/>
      <c r="S33" s="74">
        <f>S34</f>
        <v>0</v>
      </c>
      <c r="T33" s="74">
        <f>T34</f>
        <v>0</v>
      </c>
      <c r="U33" s="56" t="str">
        <f t="shared" si="0"/>
        <v>-</v>
      </c>
    </row>
    <row r="34" spans="1:21" ht="33.75" customHeight="1" hidden="1" outlineLevel="1">
      <c r="A34" s="11" t="s">
        <v>68</v>
      </c>
      <c r="B34" s="45" t="s">
        <v>114</v>
      </c>
      <c r="C34" s="45" t="s">
        <v>92</v>
      </c>
      <c r="D34" s="45" t="s">
        <v>656</v>
      </c>
      <c r="E34" s="45" t="s">
        <v>356</v>
      </c>
      <c r="F34" s="45" t="s">
        <v>59</v>
      </c>
      <c r="G34" s="74">
        <v>45000</v>
      </c>
      <c r="H34" s="112"/>
      <c r="I34" s="74">
        <f>G34+H34</f>
        <v>45000</v>
      </c>
      <c r="J34" s="112"/>
      <c r="K34" s="74">
        <f>I34+J34</f>
        <v>45000</v>
      </c>
      <c r="L34" s="112"/>
      <c r="M34" s="74">
        <f>K34+L34</f>
        <v>45000</v>
      </c>
      <c r="N34" s="113"/>
      <c r="O34" s="74">
        <f>M34+N34</f>
        <v>45000</v>
      </c>
      <c r="P34" s="113">
        <v>-45000</v>
      </c>
      <c r="Q34" s="74">
        <f>O34+P34</f>
        <v>0</v>
      </c>
      <c r="R34" s="113"/>
      <c r="S34" s="74">
        <f>Q34+R34</f>
        <v>0</v>
      </c>
      <c r="T34" s="74">
        <f>R34+S34</f>
        <v>0</v>
      </c>
      <c r="U34" s="56" t="str">
        <f t="shared" si="0"/>
        <v>-</v>
      </c>
    </row>
    <row r="35" spans="1:21" ht="64.5" customHeight="1" outlineLevel="1">
      <c r="A35" s="84" t="s">
        <v>400</v>
      </c>
      <c r="B35" s="45" t="s">
        <v>114</v>
      </c>
      <c r="C35" s="45" t="s">
        <v>399</v>
      </c>
      <c r="D35" s="85">
        <v>8200000</v>
      </c>
      <c r="E35" s="90" t="s">
        <v>359</v>
      </c>
      <c r="F35" s="45"/>
      <c r="G35" s="74">
        <f>G36</f>
        <v>17400</v>
      </c>
      <c r="H35" s="112"/>
      <c r="I35" s="74">
        <f>I36</f>
        <v>17400</v>
      </c>
      <c r="J35" s="112"/>
      <c r="K35" s="74">
        <f>K36</f>
        <v>17400</v>
      </c>
      <c r="L35" s="112"/>
      <c r="M35" s="74">
        <f>M36</f>
        <v>17400</v>
      </c>
      <c r="N35" s="113"/>
      <c r="O35" s="74">
        <f>O36</f>
        <v>17400</v>
      </c>
      <c r="P35" s="113"/>
      <c r="Q35" s="74">
        <f>Q36</f>
        <v>17400</v>
      </c>
      <c r="R35" s="113"/>
      <c r="S35" s="74">
        <f>S36</f>
        <v>17400</v>
      </c>
      <c r="T35" s="74">
        <f>T36</f>
        <v>17400</v>
      </c>
      <c r="U35" s="56">
        <f t="shared" si="0"/>
        <v>100</v>
      </c>
    </row>
    <row r="36" spans="1:21" ht="84" customHeight="1" outlineLevel="1">
      <c r="A36" s="41" t="s">
        <v>12</v>
      </c>
      <c r="B36" s="45" t="s">
        <v>114</v>
      </c>
      <c r="C36" s="45" t="s">
        <v>399</v>
      </c>
      <c r="D36" s="85">
        <v>825120</v>
      </c>
      <c r="E36" s="90" t="s">
        <v>54</v>
      </c>
      <c r="F36" s="45"/>
      <c r="G36" s="74">
        <f>G37</f>
        <v>17400</v>
      </c>
      <c r="H36" s="112"/>
      <c r="I36" s="74">
        <f>I37</f>
        <v>17400</v>
      </c>
      <c r="J36" s="112"/>
      <c r="K36" s="74">
        <f>K37</f>
        <v>17400</v>
      </c>
      <c r="L36" s="112"/>
      <c r="M36" s="74">
        <f>M37</f>
        <v>17400</v>
      </c>
      <c r="N36" s="113"/>
      <c r="O36" s="74">
        <f>O37</f>
        <v>17400</v>
      </c>
      <c r="P36" s="113"/>
      <c r="Q36" s="74">
        <f>Q37</f>
        <v>17400</v>
      </c>
      <c r="R36" s="113"/>
      <c r="S36" s="74">
        <f>S37</f>
        <v>17400</v>
      </c>
      <c r="T36" s="74">
        <f>T37</f>
        <v>17400</v>
      </c>
      <c r="U36" s="56">
        <f t="shared" si="0"/>
        <v>100</v>
      </c>
    </row>
    <row r="37" spans="1:21" ht="31.5" customHeight="1" outlineLevel="1">
      <c r="A37" s="11" t="s">
        <v>68</v>
      </c>
      <c r="B37" s="45" t="s">
        <v>114</v>
      </c>
      <c r="C37" s="45" t="s">
        <v>399</v>
      </c>
      <c r="D37" s="85">
        <v>825120</v>
      </c>
      <c r="E37" s="90" t="s">
        <v>54</v>
      </c>
      <c r="F37" s="45" t="s">
        <v>59</v>
      </c>
      <c r="G37" s="74">
        <v>17400</v>
      </c>
      <c r="H37" s="112"/>
      <c r="I37" s="74">
        <f>G37+H37</f>
        <v>17400</v>
      </c>
      <c r="J37" s="112"/>
      <c r="K37" s="74">
        <f>I37+J37</f>
        <v>17400</v>
      </c>
      <c r="L37" s="112"/>
      <c r="M37" s="74">
        <f>K37+L37</f>
        <v>17400</v>
      </c>
      <c r="N37" s="113"/>
      <c r="O37" s="74">
        <f>M37+N37</f>
        <v>17400</v>
      </c>
      <c r="P37" s="113"/>
      <c r="Q37" s="74">
        <f>O37+P37</f>
        <v>17400</v>
      </c>
      <c r="R37" s="113"/>
      <c r="S37" s="74">
        <f>Q37+R37</f>
        <v>17400</v>
      </c>
      <c r="T37" s="74">
        <f>R37+S37</f>
        <v>17400</v>
      </c>
      <c r="U37" s="56">
        <f t="shared" si="0"/>
        <v>100</v>
      </c>
    </row>
    <row r="38" spans="1:21" ht="19.5" customHeight="1" outlineLevel="1">
      <c r="A38" s="77" t="s">
        <v>683</v>
      </c>
      <c r="B38" s="45" t="s">
        <v>114</v>
      </c>
      <c r="C38" s="45" t="s">
        <v>132</v>
      </c>
      <c r="D38" s="45" t="s">
        <v>571</v>
      </c>
      <c r="E38" s="45" t="s">
        <v>357</v>
      </c>
      <c r="F38" s="46"/>
      <c r="G38" s="75">
        <f>G39</f>
        <v>180000</v>
      </c>
      <c r="H38" s="112"/>
      <c r="I38" s="75">
        <f>I39</f>
        <v>80000</v>
      </c>
      <c r="J38" s="112"/>
      <c r="K38" s="75">
        <f>K39</f>
        <v>80000</v>
      </c>
      <c r="L38" s="112"/>
      <c r="M38" s="75">
        <f>M39</f>
        <v>80000</v>
      </c>
      <c r="N38" s="113"/>
      <c r="O38" s="75">
        <f>O39</f>
        <v>80000</v>
      </c>
      <c r="P38" s="113"/>
      <c r="Q38" s="75">
        <f>Q39</f>
        <v>80000</v>
      </c>
      <c r="R38" s="113"/>
      <c r="S38" s="75">
        <f>S39</f>
        <v>80000</v>
      </c>
      <c r="T38" s="75">
        <f>T39</f>
        <v>0</v>
      </c>
      <c r="U38" s="56">
        <f t="shared" si="0"/>
        <v>0</v>
      </c>
    </row>
    <row r="39" spans="1:21" ht="38.25" customHeight="1" outlineLevel="1">
      <c r="A39" s="17" t="s">
        <v>202</v>
      </c>
      <c r="B39" s="47" t="s">
        <v>114</v>
      </c>
      <c r="C39" s="47" t="s">
        <v>132</v>
      </c>
      <c r="D39" s="45" t="s">
        <v>572</v>
      </c>
      <c r="E39" s="45" t="s">
        <v>358</v>
      </c>
      <c r="F39" s="47"/>
      <c r="G39" s="75">
        <f>G40</f>
        <v>180000</v>
      </c>
      <c r="H39" s="112"/>
      <c r="I39" s="75">
        <f>I40</f>
        <v>80000</v>
      </c>
      <c r="J39" s="112"/>
      <c r="K39" s="75">
        <f>K40</f>
        <v>80000</v>
      </c>
      <c r="L39" s="112"/>
      <c r="M39" s="75">
        <f>M40</f>
        <v>80000</v>
      </c>
      <c r="N39" s="113"/>
      <c r="O39" s="75">
        <f>O40</f>
        <v>80000</v>
      </c>
      <c r="P39" s="113"/>
      <c r="Q39" s="75">
        <f>Q40</f>
        <v>80000</v>
      </c>
      <c r="R39" s="113"/>
      <c r="S39" s="75">
        <f>S40</f>
        <v>80000</v>
      </c>
      <c r="T39" s="75">
        <f>T40</f>
        <v>0</v>
      </c>
      <c r="U39" s="56">
        <f t="shared" si="0"/>
        <v>0</v>
      </c>
    </row>
    <row r="40" spans="1:21" ht="22.5" customHeight="1" outlineLevel="1">
      <c r="A40" s="16" t="s">
        <v>595</v>
      </c>
      <c r="B40" s="47" t="s">
        <v>114</v>
      </c>
      <c r="C40" s="47" t="s">
        <v>132</v>
      </c>
      <c r="D40" s="45" t="s">
        <v>572</v>
      </c>
      <c r="E40" s="45" t="s">
        <v>358</v>
      </c>
      <c r="F40" s="47" t="s">
        <v>215</v>
      </c>
      <c r="G40" s="74">
        <v>180000</v>
      </c>
      <c r="H40" s="112">
        <v>-100000</v>
      </c>
      <c r="I40" s="74">
        <f>G40+H40</f>
        <v>80000</v>
      </c>
      <c r="J40" s="112"/>
      <c r="K40" s="74">
        <f>I40+J40</f>
        <v>80000</v>
      </c>
      <c r="L40" s="112"/>
      <c r="M40" s="74">
        <f>K40+L40</f>
        <v>80000</v>
      </c>
      <c r="N40" s="113"/>
      <c r="O40" s="74">
        <f>M40+N40</f>
        <v>80000</v>
      </c>
      <c r="P40" s="113"/>
      <c r="Q40" s="74">
        <f>O40+P40</f>
        <v>80000</v>
      </c>
      <c r="R40" s="113"/>
      <c r="S40" s="74">
        <f>Q40+R40</f>
        <v>80000</v>
      </c>
      <c r="T40" s="74">
        <v>0</v>
      </c>
      <c r="U40" s="56">
        <f t="shared" si="0"/>
        <v>0</v>
      </c>
    </row>
    <row r="41" spans="1:21" ht="21" customHeight="1">
      <c r="A41" s="9" t="s">
        <v>143</v>
      </c>
      <c r="B41" s="45">
        <v>901</v>
      </c>
      <c r="C41" s="45" t="s">
        <v>171</v>
      </c>
      <c r="D41" s="45"/>
      <c r="E41" s="45"/>
      <c r="F41" s="45"/>
      <c r="G41" s="74">
        <f>G42+G63+G70</f>
        <v>39505290</v>
      </c>
      <c r="H41" s="112"/>
      <c r="I41" s="74">
        <f>I42+I63+I70</f>
        <v>39508490</v>
      </c>
      <c r="J41" s="112"/>
      <c r="K41" s="74">
        <f>K42+K63+K70</f>
        <v>39496890.15</v>
      </c>
      <c r="L41" s="112"/>
      <c r="M41" s="74">
        <f>M42+M63+M70</f>
        <v>40344155.65</v>
      </c>
      <c r="N41" s="113"/>
      <c r="O41" s="74">
        <f>O42+O63+O70</f>
        <v>40319125.65</v>
      </c>
      <c r="P41" s="113"/>
      <c r="Q41" s="74">
        <f>Q42+Q63+Q70</f>
        <v>39050061.65</v>
      </c>
      <c r="R41" s="113"/>
      <c r="S41" s="74">
        <f>S42+S63+S69</f>
        <v>47504707.480000004</v>
      </c>
      <c r="T41" s="74">
        <f>T42+T63+T69</f>
        <v>46710781.769999996</v>
      </c>
      <c r="U41" s="56">
        <f t="shared" si="0"/>
        <v>98.3</v>
      </c>
    </row>
    <row r="42" spans="1:21" ht="83.25" customHeight="1">
      <c r="A42" s="11" t="s">
        <v>559</v>
      </c>
      <c r="B42" s="45">
        <v>901</v>
      </c>
      <c r="C42" s="45" t="s">
        <v>171</v>
      </c>
      <c r="D42" s="45" t="s">
        <v>560</v>
      </c>
      <c r="E42" s="45" t="s">
        <v>351</v>
      </c>
      <c r="F42" s="45"/>
      <c r="G42" s="74">
        <f>G43+G55+G58</f>
        <v>36755600</v>
      </c>
      <c r="H42" s="113"/>
      <c r="I42" s="74">
        <f>I43+I55+I58</f>
        <v>36755600</v>
      </c>
      <c r="J42" s="112"/>
      <c r="K42" s="74">
        <f>K43+K55+K58</f>
        <v>36710000.15</v>
      </c>
      <c r="L42" s="112"/>
      <c r="M42" s="74">
        <f>M43+M55+M58</f>
        <v>37487665.65</v>
      </c>
      <c r="N42" s="113"/>
      <c r="O42" s="74">
        <f>O43+O55+O58</f>
        <v>37310433.65</v>
      </c>
      <c r="P42" s="113"/>
      <c r="Q42" s="74">
        <f>Q43+Q55+Q58</f>
        <v>36041369.65</v>
      </c>
      <c r="R42" s="113"/>
      <c r="S42" s="74">
        <f>S43+S55+S58</f>
        <v>36321526.480000004</v>
      </c>
      <c r="T42" s="74">
        <f>T43+T55+T58</f>
        <v>35656205.55</v>
      </c>
      <c r="U42" s="56">
        <f t="shared" si="0"/>
        <v>98.2</v>
      </c>
    </row>
    <row r="43" spans="1:21" ht="64.5" customHeight="1">
      <c r="A43" s="11" t="s">
        <v>574</v>
      </c>
      <c r="B43" s="45">
        <v>901</v>
      </c>
      <c r="C43" s="45" t="s">
        <v>171</v>
      </c>
      <c r="D43" s="45" t="s">
        <v>575</v>
      </c>
      <c r="E43" s="45" t="s">
        <v>359</v>
      </c>
      <c r="F43" s="45"/>
      <c r="G43" s="74">
        <f>G44+G46+G48+G50+G52</f>
        <v>1036200</v>
      </c>
      <c r="H43" s="112"/>
      <c r="I43" s="74">
        <f>I44+I46+I48+I50+I52</f>
        <v>1036200</v>
      </c>
      <c r="J43" s="112"/>
      <c r="K43" s="74">
        <f>K44+K46+K48+K50+K52</f>
        <v>1065200</v>
      </c>
      <c r="L43" s="112"/>
      <c r="M43" s="74">
        <f>M44+M46+M48+M50+M52</f>
        <v>1065200</v>
      </c>
      <c r="N43" s="113"/>
      <c r="O43" s="74">
        <f>O44+O46+O48+O50+O52</f>
        <v>887968</v>
      </c>
      <c r="P43" s="113"/>
      <c r="Q43" s="74">
        <f>Q44+Q46+Q48+Q50+Q52</f>
        <v>848968</v>
      </c>
      <c r="R43" s="113"/>
      <c r="S43" s="74">
        <f>S44+S46+S48+S50+S52</f>
        <v>1053740.63</v>
      </c>
      <c r="T43" s="74">
        <f>T44+T46+T48+T50+T52</f>
        <v>1052306.23</v>
      </c>
      <c r="U43" s="56">
        <f t="shared" si="0"/>
        <v>99.9</v>
      </c>
    </row>
    <row r="44" spans="1:21" ht="49.5" customHeight="1">
      <c r="A44" s="31" t="s">
        <v>227</v>
      </c>
      <c r="B44" s="45">
        <v>901</v>
      </c>
      <c r="C44" s="45" t="s">
        <v>171</v>
      </c>
      <c r="D44" s="45" t="s">
        <v>576</v>
      </c>
      <c r="E44" s="45" t="s">
        <v>360</v>
      </c>
      <c r="F44" s="45"/>
      <c r="G44" s="74">
        <f>G45</f>
        <v>182000</v>
      </c>
      <c r="H44" s="112"/>
      <c r="I44" s="74">
        <f>I45</f>
        <v>182000</v>
      </c>
      <c r="J44" s="112"/>
      <c r="K44" s="74">
        <f>K45</f>
        <v>281000</v>
      </c>
      <c r="L44" s="112"/>
      <c r="M44" s="74">
        <f>M45</f>
        <v>281000</v>
      </c>
      <c r="N44" s="113"/>
      <c r="O44" s="74">
        <f>O45</f>
        <v>323768</v>
      </c>
      <c r="P44" s="113"/>
      <c r="Q44" s="74">
        <f>Q45</f>
        <v>224768</v>
      </c>
      <c r="R44" s="113"/>
      <c r="S44" s="74">
        <f>S45</f>
        <v>319648.44</v>
      </c>
      <c r="T44" s="74">
        <f>T45</f>
        <v>318214.04</v>
      </c>
      <c r="U44" s="56">
        <f t="shared" si="0"/>
        <v>99.6</v>
      </c>
    </row>
    <row r="45" spans="1:21" ht="32.25" customHeight="1">
      <c r="A45" s="11" t="s">
        <v>68</v>
      </c>
      <c r="B45" s="45">
        <v>901</v>
      </c>
      <c r="C45" s="45" t="s">
        <v>171</v>
      </c>
      <c r="D45" s="45" t="s">
        <v>576</v>
      </c>
      <c r="E45" s="45" t="s">
        <v>360</v>
      </c>
      <c r="F45" s="45" t="s">
        <v>59</v>
      </c>
      <c r="G45" s="74">
        <v>182000</v>
      </c>
      <c r="H45" s="112"/>
      <c r="I45" s="74">
        <f>G45+H45</f>
        <v>182000</v>
      </c>
      <c r="J45" s="112">
        <v>99000</v>
      </c>
      <c r="K45" s="74">
        <f>I45+J45</f>
        <v>281000</v>
      </c>
      <c r="L45" s="112"/>
      <c r="M45" s="74">
        <f>K45+L45</f>
        <v>281000</v>
      </c>
      <c r="N45" s="113">
        <f>26760+16008</f>
        <v>42768</v>
      </c>
      <c r="O45" s="74">
        <f>M45+N45</f>
        <v>323768</v>
      </c>
      <c r="P45" s="113">
        <v>-99000</v>
      </c>
      <c r="Q45" s="74">
        <f>O45+P45</f>
        <v>224768</v>
      </c>
      <c r="R45" s="113">
        <f>-0.12+94880.56</f>
        <v>94880.44</v>
      </c>
      <c r="S45" s="74">
        <f>Q45+R45</f>
        <v>319648.44</v>
      </c>
      <c r="T45" s="74">
        <v>318214.04</v>
      </c>
      <c r="U45" s="56">
        <f t="shared" si="0"/>
        <v>99.6</v>
      </c>
    </row>
    <row r="46" spans="1:21" ht="34.5" customHeight="1">
      <c r="A46" s="15" t="s">
        <v>577</v>
      </c>
      <c r="B46" s="45">
        <v>901</v>
      </c>
      <c r="C46" s="45" t="s">
        <v>171</v>
      </c>
      <c r="D46" s="45" t="s">
        <v>578</v>
      </c>
      <c r="E46" s="45" t="s">
        <v>361</v>
      </c>
      <c r="F46" s="45"/>
      <c r="G46" s="74">
        <f>G47</f>
        <v>54000</v>
      </c>
      <c r="H46" s="112"/>
      <c r="I46" s="74">
        <f>I47</f>
        <v>54000</v>
      </c>
      <c r="J46" s="112"/>
      <c r="K46" s="74">
        <f>K47</f>
        <v>104000</v>
      </c>
      <c r="L46" s="112"/>
      <c r="M46" s="74">
        <f>M47</f>
        <v>104000</v>
      </c>
      <c r="N46" s="113"/>
      <c r="O46" s="74">
        <f>O47</f>
        <v>104000</v>
      </c>
      <c r="P46" s="113"/>
      <c r="Q46" s="74">
        <f>Q47</f>
        <v>104000</v>
      </c>
      <c r="R46" s="113"/>
      <c r="S46" s="74">
        <f>S47</f>
        <v>200000</v>
      </c>
      <c r="T46" s="74">
        <f>T47</f>
        <v>200000</v>
      </c>
      <c r="U46" s="56">
        <f t="shared" si="0"/>
        <v>100</v>
      </c>
    </row>
    <row r="47" spans="1:21" ht="24.75" customHeight="1">
      <c r="A47" s="15" t="s">
        <v>62</v>
      </c>
      <c r="B47" s="45">
        <v>901</v>
      </c>
      <c r="C47" s="45" t="s">
        <v>171</v>
      </c>
      <c r="D47" s="45" t="s">
        <v>578</v>
      </c>
      <c r="E47" s="45" t="s">
        <v>361</v>
      </c>
      <c r="F47" s="45" t="s">
        <v>61</v>
      </c>
      <c r="G47" s="74">
        <v>54000</v>
      </c>
      <c r="H47" s="112"/>
      <c r="I47" s="74">
        <f>G47+H47</f>
        <v>54000</v>
      </c>
      <c r="J47" s="112">
        <v>50000</v>
      </c>
      <c r="K47" s="74">
        <f>I47+J47</f>
        <v>104000</v>
      </c>
      <c r="L47" s="112"/>
      <c r="M47" s="74">
        <f>K47+L47</f>
        <v>104000</v>
      </c>
      <c r="N47" s="113"/>
      <c r="O47" s="74">
        <f>M47+N47</f>
        <v>104000</v>
      </c>
      <c r="P47" s="113"/>
      <c r="Q47" s="74">
        <f>O47+P47</f>
        <v>104000</v>
      </c>
      <c r="R47" s="113">
        <v>96000</v>
      </c>
      <c r="S47" s="74">
        <f>Q47+R47</f>
        <v>200000</v>
      </c>
      <c r="T47" s="74">
        <v>200000</v>
      </c>
      <c r="U47" s="56">
        <f t="shared" si="0"/>
        <v>100</v>
      </c>
    </row>
    <row r="48" spans="1:21" ht="81" customHeight="1">
      <c r="A48" s="15" t="s">
        <v>373</v>
      </c>
      <c r="B48" s="45">
        <v>901</v>
      </c>
      <c r="C48" s="45" t="s">
        <v>171</v>
      </c>
      <c r="D48" s="45" t="s">
        <v>579</v>
      </c>
      <c r="E48" s="45" t="s">
        <v>362</v>
      </c>
      <c r="F48" s="45"/>
      <c r="G48" s="74">
        <f>G49</f>
        <v>701800</v>
      </c>
      <c r="H48" s="112"/>
      <c r="I48" s="74">
        <f>I49</f>
        <v>701800</v>
      </c>
      <c r="J48" s="112"/>
      <c r="K48" s="74">
        <f>K49</f>
        <v>581800</v>
      </c>
      <c r="L48" s="112"/>
      <c r="M48" s="74">
        <f>M49</f>
        <v>581800</v>
      </c>
      <c r="N48" s="113"/>
      <c r="O48" s="74">
        <f>O49</f>
        <v>361800</v>
      </c>
      <c r="P48" s="113"/>
      <c r="Q48" s="74">
        <f>Q49</f>
        <v>421800</v>
      </c>
      <c r="R48" s="113"/>
      <c r="S48" s="74">
        <f>S49</f>
        <v>435692.19</v>
      </c>
      <c r="T48" s="74">
        <f>T49</f>
        <v>435692.19</v>
      </c>
      <c r="U48" s="56">
        <f t="shared" si="0"/>
        <v>100</v>
      </c>
    </row>
    <row r="49" spans="1:21" ht="34.5" customHeight="1">
      <c r="A49" s="11" t="s">
        <v>68</v>
      </c>
      <c r="B49" s="45">
        <v>901</v>
      </c>
      <c r="C49" s="45" t="s">
        <v>171</v>
      </c>
      <c r="D49" s="45" t="s">
        <v>579</v>
      </c>
      <c r="E49" s="45" t="s">
        <v>362</v>
      </c>
      <c r="F49" s="45" t="s">
        <v>59</v>
      </c>
      <c r="G49" s="74">
        <v>701800</v>
      </c>
      <c r="H49" s="112"/>
      <c r="I49" s="74">
        <f>G49+H49</f>
        <v>701800</v>
      </c>
      <c r="J49" s="112">
        <v>-120000</v>
      </c>
      <c r="K49" s="74">
        <f>I49+J49</f>
        <v>581800</v>
      </c>
      <c r="L49" s="112"/>
      <c r="M49" s="74">
        <f>K49+L49</f>
        <v>581800</v>
      </c>
      <c r="N49" s="113">
        <v>-220000</v>
      </c>
      <c r="O49" s="74">
        <f>M49+N49</f>
        <v>361800</v>
      </c>
      <c r="P49" s="113">
        <v>60000</v>
      </c>
      <c r="Q49" s="74">
        <f>O49+P49</f>
        <v>421800</v>
      </c>
      <c r="R49" s="113">
        <f>60000-46107.81</f>
        <v>13892.190000000002</v>
      </c>
      <c r="S49" s="74">
        <f>Q49+R49</f>
        <v>435692.19</v>
      </c>
      <c r="T49" s="74">
        <v>435692.19</v>
      </c>
      <c r="U49" s="56">
        <f t="shared" si="0"/>
        <v>100</v>
      </c>
    </row>
    <row r="50" spans="1:21" ht="111.75" customHeight="1">
      <c r="A50" s="11" t="s">
        <v>198</v>
      </c>
      <c r="B50" s="45">
        <v>901</v>
      </c>
      <c r="C50" s="45" t="s">
        <v>171</v>
      </c>
      <c r="D50" s="45" t="s">
        <v>581</v>
      </c>
      <c r="E50" s="45" t="s">
        <v>363</v>
      </c>
      <c r="F50" s="45"/>
      <c r="G50" s="75">
        <f>G51</f>
        <v>100</v>
      </c>
      <c r="H50" s="112"/>
      <c r="I50" s="75">
        <f>I51</f>
        <v>100</v>
      </c>
      <c r="J50" s="112"/>
      <c r="K50" s="75">
        <f>K51</f>
        <v>100</v>
      </c>
      <c r="L50" s="112"/>
      <c r="M50" s="75">
        <f>M51</f>
        <v>100</v>
      </c>
      <c r="N50" s="113"/>
      <c r="O50" s="75">
        <f>O51</f>
        <v>100</v>
      </c>
      <c r="P50" s="113"/>
      <c r="Q50" s="75">
        <f>Q51</f>
        <v>100</v>
      </c>
      <c r="R50" s="113"/>
      <c r="S50" s="75">
        <f>S51</f>
        <v>100</v>
      </c>
      <c r="T50" s="75">
        <f>T51</f>
        <v>100</v>
      </c>
      <c r="U50" s="56">
        <f t="shared" si="0"/>
        <v>100</v>
      </c>
    </row>
    <row r="51" spans="1:21" ht="39.75" customHeight="1">
      <c r="A51" s="11" t="s">
        <v>68</v>
      </c>
      <c r="B51" s="45">
        <v>901</v>
      </c>
      <c r="C51" s="45" t="s">
        <v>171</v>
      </c>
      <c r="D51" s="45" t="s">
        <v>581</v>
      </c>
      <c r="E51" s="45" t="s">
        <v>363</v>
      </c>
      <c r="F51" s="45" t="s">
        <v>59</v>
      </c>
      <c r="G51" s="75">
        <v>100</v>
      </c>
      <c r="H51" s="112"/>
      <c r="I51" s="75">
        <f>G51+H51</f>
        <v>100</v>
      </c>
      <c r="J51" s="112"/>
      <c r="K51" s="75">
        <f>I51+J51</f>
        <v>100</v>
      </c>
      <c r="L51" s="112"/>
      <c r="M51" s="75">
        <f>K51+L51</f>
        <v>100</v>
      </c>
      <c r="N51" s="113"/>
      <c r="O51" s="75">
        <f>M51+N51</f>
        <v>100</v>
      </c>
      <c r="P51" s="113"/>
      <c r="Q51" s="75">
        <f>O51+P51</f>
        <v>100</v>
      </c>
      <c r="R51" s="113"/>
      <c r="S51" s="75">
        <f>Q51+R51</f>
        <v>100</v>
      </c>
      <c r="T51" s="75">
        <f>R51+S51</f>
        <v>100</v>
      </c>
      <c r="U51" s="56">
        <f t="shared" si="0"/>
        <v>100</v>
      </c>
    </row>
    <row r="52" spans="1:21" ht="52.5" customHeight="1">
      <c r="A52" s="11" t="s">
        <v>580</v>
      </c>
      <c r="B52" s="45">
        <v>901</v>
      </c>
      <c r="C52" s="45" t="s">
        <v>171</v>
      </c>
      <c r="D52" s="45" t="s">
        <v>689</v>
      </c>
      <c r="E52" s="45" t="s">
        <v>364</v>
      </c>
      <c r="F52" s="45"/>
      <c r="G52" s="75">
        <f>G53+G54</f>
        <v>98300</v>
      </c>
      <c r="H52" s="112"/>
      <c r="I52" s="75">
        <f>I53+I54</f>
        <v>98300</v>
      </c>
      <c r="J52" s="112"/>
      <c r="K52" s="75">
        <f>K53+K54</f>
        <v>98300</v>
      </c>
      <c r="L52" s="112"/>
      <c r="M52" s="75">
        <f>M53+M54</f>
        <v>98300</v>
      </c>
      <c r="N52" s="113"/>
      <c r="O52" s="75">
        <f>O53+O54</f>
        <v>98300</v>
      </c>
      <c r="P52" s="113"/>
      <c r="Q52" s="75">
        <f>Q53+Q54</f>
        <v>98300</v>
      </c>
      <c r="R52" s="113"/>
      <c r="S52" s="75">
        <f>S53+S54</f>
        <v>98300</v>
      </c>
      <c r="T52" s="75">
        <f>T53+T54</f>
        <v>98300</v>
      </c>
      <c r="U52" s="56">
        <f t="shared" si="0"/>
        <v>100</v>
      </c>
    </row>
    <row r="53" spans="1:21" ht="32.25" customHeight="1">
      <c r="A53" s="12" t="s">
        <v>48</v>
      </c>
      <c r="B53" s="45">
        <v>901</v>
      </c>
      <c r="C53" s="45" t="s">
        <v>171</v>
      </c>
      <c r="D53" s="45" t="s">
        <v>689</v>
      </c>
      <c r="E53" s="45" t="s">
        <v>364</v>
      </c>
      <c r="F53" s="45" t="s">
        <v>67</v>
      </c>
      <c r="G53" s="75">
        <v>90088</v>
      </c>
      <c r="H53" s="112"/>
      <c r="I53" s="75">
        <f>G53+H53</f>
        <v>90088</v>
      </c>
      <c r="J53" s="112"/>
      <c r="K53" s="75">
        <f>I53+J53</f>
        <v>90088</v>
      </c>
      <c r="L53" s="112"/>
      <c r="M53" s="75">
        <f>K53+L53</f>
        <v>90088</v>
      </c>
      <c r="N53" s="113"/>
      <c r="O53" s="75">
        <f>M53+N53</f>
        <v>90088</v>
      </c>
      <c r="P53" s="113"/>
      <c r="Q53" s="75">
        <f>O53+P53</f>
        <v>90088</v>
      </c>
      <c r="R53" s="113">
        <v>-3145.2</v>
      </c>
      <c r="S53" s="75">
        <f>Q53+R53</f>
        <v>86942.8</v>
      </c>
      <c r="T53" s="75">
        <v>86942.8</v>
      </c>
      <c r="U53" s="56">
        <f t="shared" si="0"/>
        <v>100</v>
      </c>
    </row>
    <row r="54" spans="1:21" ht="33" customHeight="1">
      <c r="A54" s="11" t="s">
        <v>68</v>
      </c>
      <c r="B54" s="45">
        <v>901</v>
      </c>
      <c r="C54" s="45" t="s">
        <v>171</v>
      </c>
      <c r="D54" s="45" t="s">
        <v>689</v>
      </c>
      <c r="E54" s="45" t="s">
        <v>364</v>
      </c>
      <c r="F54" s="45" t="s">
        <v>59</v>
      </c>
      <c r="G54" s="74">
        <v>8212</v>
      </c>
      <c r="H54" s="112"/>
      <c r="I54" s="74">
        <f>G54+H54</f>
        <v>8212</v>
      </c>
      <c r="J54" s="112"/>
      <c r="K54" s="74">
        <f>I54+J54</f>
        <v>8212</v>
      </c>
      <c r="L54" s="112"/>
      <c r="M54" s="74">
        <f>K54+L54</f>
        <v>8212</v>
      </c>
      <c r="N54" s="113"/>
      <c r="O54" s="74">
        <f>M54+N54</f>
        <v>8212</v>
      </c>
      <c r="P54" s="113"/>
      <c r="Q54" s="74">
        <f>O54+P54</f>
        <v>8212</v>
      </c>
      <c r="R54" s="113">
        <v>3145.2</v>
      </c>
      <c r="S54" s="74">
        <f>Q54+R54</f>
        <v>11357.2</v>
      </c>
      <c r="T54" s="74">
        <v>11357.2</v>
      </c>
      <c r="U54" s="56">
        <f t="shared" si="0"/>
        <v>100</v>
      </c>
    </row>
    <row r="55" spans="1:21" ht="96" customHeight="1">
      <c r="A55" s="11" t="s">
        <v>582</v>
      </c>
      <c r="B55" s="45">
        <v>901</v>
      </c>
      <c r="C55" s="45" t="s">
        <v>171</v>
      </c>
      <c r="D55" s="45" t="s">
        <v>584</v>
      </c>
      <c r="E55" s="45" t="s">
        <v>55</v>
      </c>
      <c r="F55" s="45"/>
      <c r="G55" s="75">
        <f>G56</f>
        <v>235000</v>
      </c>
      <c r="H55" s="112"/>
      <c r="I55" s="75">
        <f>I56</f>
        <v>235000</v>
      </c>
      <c r="J55" s="112"/>
      <c r="K55" s="75">
        <f>K56</f>
        <v>235000</v>
      </c>
      <c r="L55" s="112"/>
      <c r="M55" s="75">
        <f>M56</f>
        <v>235000</v>
      </c>
      <c r="N55" s="113"/>
      <c r="O55" s="75">
        <f>O56</f>
        <v>235000</v>
      </c>
      <c r="P55" s="113"/>
      <c r="Q55" s="75">
        <f>Q56</f>
        <v>235000</v>
      </c>
      <c r="R55" s="113"/>
      <c r="S55" s="75">
        <f>S56</f>
        <v>235000</v>
      </c>
      <c r="T55" s="75">
        <f>T56</f>
        <v>235000</v>
      </c>
      <c r="U55" s="56">
        <f t="shared" si="0"/>
        <v>100</v>
      </c>
    </row>
    <row r="56" spans="1:21" ht="98.25" customHeight="1">
      <c r="A56" s="19" t="s">
        <v>583</v>
      </c>
      <c r="B56" s="45">
        <v>901</v>
      </c>
      <c r="C56" s="45" t="s">
        <v>171</v>
      </c>
      <c r="D56" s="45" t="s">
        <v>585</v>
      </c>
      <c r="E56" s="45" t="s">
        <v>365</v>
      </c>
      <c r="F56" s="45"/>
      <c r="G56" s="75">
        <f>G57</f>
        <v>235000</v>
      </c>
      <c r="H56" s="112"/>
      <c r="I56" s="75">
        <f>I57</f>
        <v>235000</v>
      </c>
      <c r="J56" s="112"/>
      <c r="K56" s="75">
        <f>K57</f>
        <v>235000</v>
      </c>
      <c r="L56" s="112"/>
      <c r="M56" s="75">
        <f>M57</f>
        <v>235000</v>
      </c>
      <c r="N56" s="113"/>
      <c r="O56" s="75">
        <f>O57</f>
        <v>235000</v>
      </c>
      <c r="P56" s="113"/>
      <c r="Q56" s="75">
        <f>Q57</f>
        <v>235000</v>
      </c>
      <c r="R56" s="113"/>
      <c r="S56" s="75">
        <f>S57</f>
        <v>235000</v>
      </c>
      <c r="T56" s="75">
        <f>T57</f>
        <v>235000</v>
      </c>
      <c r="U56" s="56">
        <f t="shared" si="0"/>
        <v>100</v>
      </c>
    </row>
    <row r="57" spans="1:21" ht="33" customHeight="1">
      <c r="A57" s="11" t="s">
        <v>68</v>
      </c>
      <c r="B57" s="45">
        <v>901</v>
      </c>
      <c r="C57" s="45" t="s">
        <v>171</v>
      </c>
      <c r="D57" s="45" t="s">
        <v>585</v>
      </c>
      <c r="E57" s="45" t="s">
        <v>365</v>
      </c>
      <c r="F57" s="45" t="s">
        <v>59</v>
      </c>
      <c r="G57" s="75">
        <v>235000</v>
      </c>
      <c r="H57" s="112"/>
      <c r="I57" s="75">
        <f>G57+H57</f>
        <v>235000</v>
      </c>
      <c r="J57" s="112"/>
      <c r="K57" s="75">
        <f>I57+J57</f>
        <v>235000</v>
      </c>
      <c r="L57" s="112"/>
      <c r="M57" s="75">
        <f>K57+L57</f>
        <v>235000</v>
      </c>
      <c r="N57" s="113"/>
      <c r="O57" s="75">
        <f>M57+N57</f>
        <v>235000</v>
      </c>
      <c r="P57" s="113"/>
      <c r="Q57" s="75">
        <f>O57+P57</f>
        <v>235000</v>
      </c>
      <c r="R57" s="113"/>
      <c r="S57" s="75">
        <f>Q57+R57</f>
        <v>235000</v>
      </c>
      <c r="T57" s="75">
        <f>R57+S57</f>
        <v>235000</v>
      </c>
      <c r="U57" s="56">
        <f t="shared" si="0"/>
        <v>100</v>
      </c>
    </row>
    <row r="58" spans="1:21" ht="81.75" customHeight="1">
      <c r="A58" s="11" t="s">
        <v>586</v>
      </c>
      <c r="B58" s="45">
        <v>901</v>
      </c>
      <c r="C58" s="45" t="s">
        <v>171</v>
      </c>
      <c r="D58" s="45" t="s">
        <v>588</v>
      </c>
      <c r="E58" s="45" t="s">
        <v>366</v>
      </c>
      <c r="F58" s="45"/>
      <c r="G58" s="75">
        <f>G59</f>
        <v>35484400</v>
      </c>
      <c r="H58" s="112"/>
      <c r="I58" s="75">
        <f>I59</f>
        <v>35484400</v>
      </c>
      <c r="J58" s="112"/>
      <c r="K58" s="75">
        <f>K59</f>
        <v>35409800.15</v>
      </c>
      <c r="L58" s="112"/>
      <c r="M58" s="75">
        <f>M59</f>
        <v>36187465.65</v>
      </c>
      <c r="N58" s="113"/>
      <c r="O58" s="75">
        <f>O59</f>
        <v>36187465.65</v>
      </c>
      <c r="P58" s="113"/>
      <c r="Q58" s="75">
        <f>Q59</f>
        <v>34957401.65</v>
      </c>
      <c r="R58" s="113"/>
      <c r="S58" s="75">
        <f>S59</f>
        <v>35032785.85</v>
      </c>
      <c r="T58" s="75">
        <f>T59</f>
        <v>34368899.32</v>
      </c>
      <c r="U58" s="56">
        <f t="shared" si="0"/>
        <v>98.1</v>
      </c>
    </row>
    <row r="59" spans="1:21" ht="33.75" customHeight="1">
      <c r="A59" s="11" t="s">
        <v>587</v>
      </c>
      <c r="B59" s="45">
        <v>901</v>
      </c>
      <c r="C59" s="45" t="s">
        <v>171</v>
      </c>
      <c r="D59" s="45" t="s">
        <v>589</v>
      </c>
      <c r="E59" s="45" t="s">
        <v>367</v>
      </c>
      <c r="F59" s="45"/>
      <c r="G59" s="75">
        <f>G60+G61+G62</f>
        <v>35484400</v>
      </c>
      <c r="H59" s="112"/>
      <c r="I59" s="75">
        <f>I60+I61+I62</f>
        <v>35484400</v>
      </c>
      <c r="J59" s="112"/>
      <c r="K59" s="75">
        <f>K60+K61+K62</f>
        <v>35409800.15</v>
      </c>
      <c r="L59" s="112"/>
      <c r="M59" s="75">
        <f>M60+M61+M62</f>
        <v>36187465.65</v>
      </c>
      <c r="N59" s="113"/>
      <c r="O59" s="75">
        <f>O60+O61+O62</f>
        <v>36187465.65</v>
      </c>
      <c r="P59" s="113"/>
      <c r="Q59" s="75">
        <f>Q60+Q61+Q62</f>
        <v>34957401.65</v>
      </c>
      <c r="R59" s="113"/>
      <c r="S59" s="75">
        <f>S60+S61+S62</f>
        <v>35032785.85</v>
      </c>
      <c r="T59" s="75">
        <f>T60+T61+T62</f>
        <v>34368899.32</v>
      </c>
      <c r="U59" s="56">
        <f t="shared" si="0"/>
        <v>98.1</v>
      </c>
    </row>
    <row r="60" spans="1:21" ht="30" customHeight="1">
      <c r="A60" s="11" t="s">
        <v>235</v>
      </c>
      <c r="B60" s="45">
        <v>901</v>
      </c>
      <c r="C60" s="45" t="s">
        <v>171</v>
      </c>
      <c r="D60" s="45" t="s">
        <v>589</v>
      </c>
      <c r="E60" s="45" t="s">
        <v>367</v>
      </c>
      <c r="F60" s="45" t="s">
        <v>57</v>
      </c>
      <c r="G60" s="75">
        <v>26769277</v>
      </c>
      <c r="H60" s="112">
        <v>14004</v>
      </c>
      <c r="I60" s="75">
        <f>G60+H60</f>
        <v>26783281</v>
      </c>
      <c r="J60" s="112">
        <v>5000</v>
      </c>
      <c r="K60" s="75">
        <f>I60+J60</f>
        <v>26788281</v>
      </c>
      <c r="L60" s="112"/>
      <c r="M60" s="75">
        <f>K60+L60</f>
        <v>26788281</v>
      </c>
      <c r="N60" s="113"/>
      <c r="O60" s="75">
        <f>M60+N60</f>
        <v>26788281</v>
      </c>
      <c r="P60" s="113">
        <v>-1528000</v>
      </c>
      <c r="Q60" s="75">
        <f>O60+P60</f>
        <v>25260281</v>
      </c>
      <c r="R60" s="113">
        <f>2264-57000+11000+80329+105868</f>
        <v>142461</v>
      </c>
      <c r="S60" s="75">
        <f>Q60+R60</f>
        <v>25402742</v>
      </c>
      <c r="T60" s="75">
        <v>25399265.47</v>
      </c>
      <c r="U60" s="56">
        <f t="shared" si="0"/>
        <v>100</v>
      </c>
    </row>
    <row r="61" spans="1:21" ht="34.5" customHeight="1">
      <c r="A61" s="11" t="s">
        <v>68</v>
      </c>
      <c r="B61" s="45">
        <v>901</v>
      </c>
      <c r="C61" s="45" t="s">
        <v>171</v>
      </c>
      <c r="D61" s="45" t="s">
        <v>590</v>
      </c>
      <c r="E61" s="45" t="s">
        <v>367</v>
      </c>
      <c r="F61" s="45" t="s">
        <v>59</v>
      </c>
      <c r="G61" s="74">
        <v>8463757</v>
      </c>
      <c r="H61" s="112">
        <v>-14004</v>
      </c>
      <c r="I61" s="75">
        <f>G61+H61</f>
        <v>8449753</v>
      </c>
      <c r="J61" s="112">
        <v>-79599.85</v>
      </c>
      <c r="K61" s="75">
        <f>I61+J61</f>
        <v>8370153.15</v>
      </c>
      <c r="L61" s="112">
        <f>59059.5+718606</f>
        <v>777665.5</v>
      </c>
      <c r="M61" s="75">
        <f>K61+L61</f>
        <v>9147818.65</v>
      </c>
      <c r="N61" s="113">
        <v>-17300</v>
      </c>
      <c r="O61" s="75">
        <f>M61+N61</f>
        <v>9130518.65</v>
      </c>
      <c r="P61" s="113">
        <v>297936</v>
      </c>
      <c r="Q61" s="75">
        <f>O61+P61</f>
        <v>9428454.65</v>
      </c>
      <c r="R61" s="113">
        <f>34140-11000-9691.8-80329</f>
        <v>-66880.8</v>
      </c>
      <c r="S61" s="75">
        <f>Q61+R61</f>
        <v>9361573.85</v>
      </c>
      <c r="T61" s="75">
        <v>8701163.85</v>
      </c>
      <c r="U61" s="56">
        <f t="shared" si="0"/>
        <v>92.9</v>
      </c>
    </row>
    <row r="62" spans="1:21" ht="31.5" customHeight="1">
      <c r="A62" s="15" t="s">
        <v>62</v>
      </c>
      <c r="B62" s="45">
        <v>901</v>
      </c>
      <c r="C62" s="45" t="s">
        <v>171</v>
      </c>
      <c r="D62" s="45" t="s">
        <v>590</v>
      </c>
      <c r="E62" s="45" t="s">
        <v>367</v>
      </c>
      <c r="F62" s="45" t="s">
        <v>61</v>
      </c>
      <c r="G62" s="74">
        <v>251366</v>
      </c>
      <c r="H62" s="112"/>
      <c r="I62" s="75">
        <f>G62+H62</f>
        <v>251366</v>
      </c>
      <c r="J62" s="112"/>
      <c r="K62" s="75">
        <f>I62+J62</f>
        <v>251366</v>
      </c>
      <c r="L62" s="112"/>
      <c r="M62" s="75">
        <f>K62+L62</f>
        <v>251366</v>
      </c>
      <c r="N62" s="113">
        <v>17300</v>
      </c>
      <c r="O62" s="75">
        <f>M62+N62</f>
        <v>268666</v>
      </c>
      <c r="P62" s="113"/>
      <c r="Q62" s="75">
        <f>O62+P62</f>
        <v>268666</v>
      </c>
      <c r="R62" s="113">
        <v>-196</v>
      </c>
      <c r="S62" s="75">
        <f>Q62+R62</f>
        <v>268470</v>
      </c>
      <c r="T62" s="75">
        <v>268470</v>
      </c>
      <c r="U62" s="56">
        <f t="shared" si="0"/>
        <v>100</v>
      </c>
    </row>
    <row r="63" spans="1:21" ht="91.5" customHeight="1">
      <c r="A63" s="20" t="s">
        <v>231</v>
      </c>
      <c r="B63" s="45" t="s">
        <v>114</v>
      </c>
      <c r="C63" s="45" t="s">
        <v>171</v>
      </c>
      <c r="D63" s="45" t="s">
        <v>94</v>
      </c>
      <c r="E63" s="45" t="s">
        <v>368</v>
      </c>
      <c r="F63" s="45"/>
      <c r="G63" s="74">
        <f>G64</f>
        <v>2749590</v>
      </c>
      <c r="H63" s="112"/>
      <c r="I63" s="74">
        <f>I64</f>
        <v>2752790</v>
      </c>
      <c r="J63" s="112"/>
      <c r="K63" s="74">
        <f>K64</f>
        <v>2786790</v>
      </c>
      <c r="L63" s="112"/>
      <c r="M63" s="74">
        <f>M64</f>
        <v>2856390</v>
      </c>
      <c r="N63" s="113"/>
      <c r="O63" s="74">
        <f>O64</f>
        <v>3008592</v>
      </c>
      <c r="P63" s="113"/>
      <c r="Q63" s="74">
        <f>Q64</f>
        <v>3008592</v>
      </c>
      <c r="R63" s="113"/>
      <c r="S63" s="74">
        <f>S64</f>
        <v>3183081</v>
      </c>
      <c r="T63" s="74">
        <f>T64</f>
        <v>3054476.2199999997</v>
      </c>
      <c r="U63" s="56">
        <f t="shared" si="0"/>
        <v>96</v>
      </c>
    </row>
    <row r="64" spans="1:21" ht="45" customHeight="1">
      <c r="A64" s="20" t="s">
        <v>318</v>
      </c>
      <c r="B64" s="45" t="s">
        <v>114</v>
      </c>
      <c r="C64" s="45" t="s">
        <v>171</v>
      </c>
      <c r="D64" s="45" t="s">
        <v>322</v>
      </c>
      <c r="E64" s="45" t="s">
        <v>369</v>
      </c>
      <c r="F64" s="45"/>
      <c r="G64" s="74">
        <f>G65</f>
        <v>2749590</v>
      </c>
      <c r="H64" s="112"/>
      <c r="I64" s="74">
        <f>I65</f>
        <v>2752790</v>
      </c>
      <c r="J64" s="112"/>
      <c r="K64" s="74">
        <f>K65</f>
        <v>2786790</v>
      </c>
      <c r="L64" s="112"/>
      <c r="M64" s="74">
        <f>M65</f>
        <v>2856390</v>
      </c>
      <c r="N64" s="113"/>
      <c r="O64" s="74">
        <f>O65</f>
        <v>3008592</v>
      </c>
      <c r="P64" s="113"/>
      <c r="Q64" s="74">
        <f>Q65</f>
        <v>3008592</v>
      </c>
      <c r="R64" s="113"/>
      <c r="S64" s="74">
        <f>S65</f>
        <v>3183081</v>
      </c>
      <c r="T64" s="74">
        <f>T65</f>
        <v>3054476.2199999997</v>
      </c>
      <c r="U64" s="56">
        <f t="shared" si="0"/>
        <v>96</v>
      </c>
    </row>
    <row r="65" spans="1:21" ht="17.25" customHeight="1">
      <c r="A65" s="20" t="s">
        <v>323</v>
      </c>
      <c r="B65" s="45" t="s">
        <v>114</v>
      </c>
      <c r="C65" s="45" t="s">
        <v>171</v>
      </c>
      <c r="D65" s="45" t="s">
        <v>324</v>
      </c>
      <c r="E65" s="45" t="s">
        <v>370</v>
      </c>
      <c r="F65" s="45"/>
      <c r="G65" s="74">
        <f>G66+G67</f>
        <v>2749590</v>
      </c>
      <c r="H65" s="112"/>
      <c r="I65" s="74">
        <f>I66+I67+I68</f>
        <v>2752790</v>
      </c>
      <c r="J65" s="112"/>
      <c r="K65" s="74">
        <f>K66+K67+K68</f>
        <v>2786790</v>
      </c>
      <c r="L65" s="112"/>
      <c r="M65" s="74">
        <f>M66+M67+M68</f>
        <v>2856390</v>
      </c>
      <c r="N65" s="113"/>
      <c r="O65" s="74">
        <f>O66+O67+O68</f>
        <v>3008592</v>
      </c>
      <c r="P65" s="113"/>
      <c r="Q65" s="74">
        <f>Q66+Q67+Q68</f>
        <v>3008592</v>
      </c>
      <c r="R65" s="113"/>
      <c r="S65" s="74">
        <f>S66+S67+S68</f>
        <v>3183081</v>
      </c>
      <c r="T65" s="74">
        <f>T66+T67+T68</f>
        <v>3054476.2199999997</v>
      </c>
      <c r="U65" s="56">
        <f t="shared" si="0"/>
        <v>96</v>
      </c>
    </row>
    <row r="66" spans="1:21" ht="18" customHeight="1">
      <c r="A66" s="11" t="s">
        <v>235</v>
      </c>
      <c r="B66" s="45" t="s">
        <v>114</v>
      </c>
      <c r="C66" s="45" t="s">
        <v>171</v>
      </c>
      <c r="D66" s="45" t="s">
        <v>324</v>
      </c>
      <c r="E66" s="45" t="s">
        <v>370</v>
      </c>
      <c r="F66" s="45" t="s">
        <v>57</v>
      </c>
      <c r="G66" s="74">
        <f>2632155-161065</f>
        <v>2471090</v>
      </c>
      <c r="H66" s="112"/>
      <c r="I66" s="74">
        <f>G66+H66</f>
        <v>2471090</v>
      </c>
      <c r="J66" s="112"/>
      <c r="K66" s="74">
        <f>I66+J66</f>
        <v>2471090</v>
      </c>
      <c r="L66" s="112">
        <v>14600</v>
      </c>
      <c r="M66" s="74">
        <f>K66+L66</f>
        <v>2485690</v>
      </c>
      <c r="N66" s="113"/>
      <c r="O66" s="74">
        <f>M66+N66</f>
        <v>2485690</v>
      </c>
      <c r="P66" s="113"/>
      <c r="Q66" s="74">
        <f>O66+P66</f>
        <v>2485690</v>
      </c>
      <c r="R66" s="113">
        <f>181000</f>
        <v>181000</v>
      </c>
      <c r="S66" s="74">
        <f>Q66+R66</f>
        <v>2666690</v>
      </c>
      <c r="T66" s="74">
        <v>2578428.82</v>
      </c>
      <c r="U66" s="56">
        <f t="shared" si="0"/>
        <v>96.7</v>
      </c>
    </row>
    <row r="67" spans="1:21" ht="36" customHeight="1">
      <c r="A67" s="11" t="s">
        <v>68</v>
      </c>
      <c r="B67" s="45" t="s">
        <v>114</v>
      </c>
      <c r="C67" s="45" t="s">
        <v>171</v>
      </c>
      <c r="D67" s="45" t="s">
        <v>324</v>
      </c>
      <c r="E67" s="45" t="s">
        <v>370</v>
      </c>
      <c r="F67" s="45" t="s">
        <v>59</v>
      </c>
      <c r="G67" s="74">
        <f>117435+161065</f>
        <v>278500</v>
      </c>
      <c r="H67" s="112">
        <v>2400</v>
      </c>
      <c r="I67" s="74">
        <f>G67+H67</f>
        <v>280900</v>
      </c>
      <c r="J67" s="112">
        <v>34000</v>
      </c>
      <c r="K67" s="74">
        <f>I67+J67</f>
        <v>314900</v>
      </c>
      <c r="L67" s="112">
        <v>55000</v>
      </c>
      <c r="M67" s="74">
        <f>K67+L67</f>
        <v>369900</v>
      </c>
      <c r="N67" s="113">
        <v>100000</v>
      </c>
      <c r="O67" s="74">
        <f>M67+N67</f>
        <v>469900</v>
      </c>
      <c r="P67" s="113"/>
      <c r="Q67" s="74">
        <f>O67+P67</f>
        <v>469900</v>
      </c>
      <c r="R67" s="113">
        <f>-5710.85</f>
        <v>-5710.85</v>
      </c>
      <c r="S67" s="74">
        <f>Q67+R67</f>
        <v>464189.15</v>
      </c>
      <c r="T67" s="74">
        <v>423845.55</v>
      </c>
      <c r="U67" s="56">
        <f t="shared" si="0"/>
        <v>91.3</v>
      </c>
    </row>
    <row r="68" spans="1:21" ht="20.25" customHeight="1">
      <c r="A68" s="15" t="s">
        <v>62</v>
      </c>
      <c r="B68" s="45" t="s">
        <v>114</v>
      </c>
      <c r="C68" s="45" t="s">
        <v>171</v>
      </c>
      <c r="D68" s="45" t="s">
        <v>324</v>
      </c>
      <c r="E68" s="45" t="s">
        <v>370</v>
      </c>
      <c r="F68" s="45" t="s">
        <v>61</v>
      </c>
      <c r="G68" s="74"/>
      <c r="H68" s="112">
        <v>800</v>
      </c>
      <c r="I68" s="74">
        <f>G68+H68</f>
        <v>800</v>
      </c>
      <c r="J68" s="112"/>
      <c r="K68" s="74">
        <f>I68+J68</f>
        <v>800</v>
      </c>
      <c r="L68" s="112"/>
      <c r="M68" s="74">
        <f>K68+L68</f>
        <v>800</v>
      </c>
      <c r="N68" s="113">
        <v>52202</v>
      </c>
      <c r="O68" s="74">
        <f>M68+N68</f>
        <v>53002</v>
      </c>
      <c r="P68" s="113"/>
      <c r="Q68" s="74">
        <f>O68+P68</f>
        <v>53002</v>
      </c>
      <c r="R68" s="113">
        <v>-800.15</v>
      </c>
      <c r="S68" s="74">
        <f>Q68+R68</f>
        <v>52201.85</v>
      </c>
      <c r="T68" s="74">
        <v>52201.85</v>
      </c>
      <c r="U68" s="56">
        <f t="shared" si="0"/>
        <v>100</v>
      </c>
    </row>
    <row r="69" spans="1:21" ht="20.25" customHeight="1">
      <c r="A69" s="85" t="s">
        <v>683</v>
      </c>
      <c r="B69" s="45" t="s">
        <v>114</v>
      </c>
      <c r="C69" s="45" t="s">
        <v>171</v>
      </c>
      <c r="D69" s="45"/>
      <c r="E69" s="45" t="s">
        <v>357</v>
      </c>
      <c r="F69" s="45"/>
      <c r="G69" s="74"/>
      <c r="H69" s="112"/>
      <c r="I69" s="74"/>
      <c r="J69" s="112"/>
      <c r="K69" s="74"/>
      <c r="L69" s="112"/>
      <c r="M69" s="74"/>
      <c r="N69" s="113"/>
      <c r="O69" s="74"/>
      <c r="P69" s="113"/>
      <c r="Q69" s="74"/>
      <c r="R69" s="113"/>
      <c r="S69" s="74">
        <f>S70+S72</f>
        <v>8000100</v>
      </c>
      <c r="T69" s="74">
        <f>T70+T72</f>
        <v>8000100</v>
      </c>
      <c r="U69" s="56">
        <f t="shared" si="0"/>
        <v>100</v>
      </c>
    </row>
    <row r="70" spans="1:21" ht="210" customHeight="1">
      <c r="A70" s="38" t="s">
        <v>696</v>
      </c>
      <c r="B70" s="45" t="s">
        <v>114</v>
      </c>
      <c r="C70" s="45" t="s">
        <v>171</v>
      </c>
      <c r="D70" s="45" t="s">
        <v>695</v>
      </c>
      <c r="E70" s="45" t="s">
        <v>371</v>
      </c>
      <c r="F70" s="45"/>
      <c r="G70" s="74">
        <f>G71</f>
        <v>100</v>
      </c>
      <c r="H70" s="112"/>
      <c r="I70" s="74">
        <f>I71</f>
        <v>100</v>
      </c>
      <c r="J70" s="112"/>
      <c r="K70" s="74">
        <f>K71</f>
        <v>100</v>
      </c>
      <c r="L70" s="112"/>
      <c r="M70" s="74">
        <f>M71</f>
        <v>100</v>
      </c>
      <c r="N70" s="113"/>
      <c r="O70" s="74">
        <f>O71</f>
        <v>100</v>
      </c>
      <c r="P70" s="113"/>
      <c r="Q70" s="74">
        <f>Q71</f>
        <v>100</v>
      </c>
      <c r="R70" s="113"/>
      <c r="S70" s="74">
        <f>S71</f>
        <v>100</v>
      </c>
      <c r="T70" s="74">
        <f>T71</f>
        <v>100</v>
      </c>
      <c r="U70" s="56">
        <f t="shared" si="0"/>
        <v>100</v>
      </c>
    </row>
    <row r="71" spans="1:21" ht="31.5" customHeight="1">
      <c r="A71" s="11" t="s">
        <v>68</v>
      </c>
      <c r="B71" s="45" t="s">
        <v>114</v>
      </c>
      <c r="C71" s="45" t="s">
        <v>171</v>
      </c>
      <c r="D71" s="45" t="s">
        <v>695</v>
      </c>
      <c r="E71" s="45" t="s">
        <v>371</v>
      </c>
      <c r="F71" s="45" t="s">
        <v>59</v>
      </c>
      <c r="G71" s="74">
        <v>100</v>
      </c>
      <c r="H71" s="112"/>
      <c r="I71" s="74">
        <f>G71+H71</f>
        <v>100</v>
      </c>
      <c r="J71" s="112"/>
      <c r="K71" s="74">
        <f>I71+J71</f>
        <v>100</v>
      </c>
      <c r="L71" s="112"/>
      <c r="M71" s="74">
        <f>K71+L71</f>
        <v>100</v>
      </c>
      <c r="N71" s="113"/>
      <c r="O71" s="74">
        <f>M71+N71</f>
        <v>100</v>
      </c>
      <c r="P71" s="113"/>
      <c r="Q71" s="74">
        <f>O71+P71</f>
        <v>100</v>
      </c>
      <c r="R71" s="113"/>
      <c r="S71" s="74">
        <f>Q71+R71</f>
        <v>100</v>
      </c>
      <c r="T71" s="74">
        <f>R71+S71</f>
        <v>100</v>
      </c>
      <c r="U71" s="56">
        <f t="shared" si="0"/>
        <v>100</v>
      </c>
    </row>
    <row r="72" spans="1:21" ht="51.75" customHeight="1">
      <c r="A72" s="11" t="s">
        <v>304</v>
      </c>
      <c r="B72" s="45" t="s">
        <v>114</v>
      </c>
      <c r="C72" s="45" t="s">
        <v>171</v>
      </c>
      <c r="D72" s="45"/>
      <c r="E72" s="45" t="s">
        <v>301</v>
      </c>
      <c r="F72" s="45"/>
      <c r="G72" s="74"/>
      <c r="H72" s="112"/>
      <c r="I72" s="74"/>
      <c r="J72" s="112"/>
      <c r="K72" s="74"/>
      <c r="L72" s="112"/>
      <c r="M72" s="74"/>
      <c r="N72" s="113"/>
      <c r="O72" s="74"/>
      <c r="P72" s="113"/>
      <c r="Q72" s="74"/>
      <c r="R72" s="113"/>
      <c r="S72" s="74">
        <f>S73</f>
        <v>8000000</v>
      </c>
      <c r="T72" s="74">
        <f>T73</f>
        <v>8000000</v>
      </c>
      <c r="U72" s="56">
        <f t="shared" si="0"/>
        <v>100</v>
      </c>
    </row>
    <row r="73" spans="1:21" ht="33.75" customHeight="1">
      <c r="A73" s="41" t="s">
        <v>303</v>
      </c>
      <c r="B73" s="45" t="s">
        <v>114</v>
      </c>
      <c r="C73" s="45" t="s">
        <v>171</v>
      </c>
      <c r="D73" s="45"/>
      <c r="E73" s="45" t="s">
        <v>301</v>
      </c>
      <c r="F73" s="45" t="s">
        <v>302</v>
      </c>
      <c r="G73" s="74"/>
      <c r="H73" s="112"/>
      <c r="I73" s="74"/>
      <c r="J73" s="112"/>
      <c r="K73" s="74"/>
      <c r="L73" s="112"/>
      <c r="M73" s="74"/>
      <c r="N73" s="113"/>
      <c r="O73" s="74"/>
      <c r="P73" s="113"/>
      <c r="Q73" s="74"/>
      <c r="R73" s="113">
        <v>8000000</v>
      </c>
      <c r="S73" s="74">
        <f>Q73+R73</f>
        <v>8000000</v>
      </c>
      <c r="T73" s="74">
        <v>8000000</v>
      </c>
      <c r="U73" s="56">
        <f t="shared" si="0"/>
        <v>100</v>
      </c>
    </row>
    <row r="74" spans="1:21" ht="20.25" customHeight="1">
      <c r="A74" s="9" t="s">
        <v>144</v>
      </c>
      <c r="B74" s="45" t="s">
        <v>114</v>
      </c>
      <c r="C74" s="45" t="s">
        <v>97</v>
      </c>
      <c r="D74" s="45"/>
      <c r="E74" s="45"/>
      <c r="F74" s="45"/>
      <c r="G74" s="74">
        <f>G75</f>
        <v>1488000</v>
      </c>
      <c r="H74" s="112"/>
      <c r="I74" s="74">
        <f>I75</f>
        <v>1488000</v>
      </c>
      <c r="J74" s="112"/>
      <c r="K74" s="74">
        <f>K75</f>
        <v>1488000</v>
      </c>
      <c r="L74" s="112"/>
      <c r="M74" s="74">
        <f>M75</f>
        <v>1488000</v>
      </c>
      <c r="N74" s="113"/>
      <c r="O74" s="74">
        <f>O75</f>
        <v>1488000</v>
      </c>
      <c r="P74" s="113"/>
      <c r="Q74" s="74">
        <f>Q75</f>
        <v>1488000</v>
      </c>
      <c r="R74" s="113"/>
      <c r="S74" s="74">
        <f aca="true" t="shared" si="2" ref="S74:T76">S75</f>
        <v>1488000</v>
      </c>
      <c r="T74" s="74">
        <f t="shared" si="2"/>
        <v>1488000</v>
      </c>
      <c r="U74" s="56">
        <f t="shared" si="0"/>
        <v>100</v>
      </c>
    </row>
    <row r="75" spans="1:21" ht="68.25" customHeight="1">
      <c r="A75" s="41" t="s">
        <v>678</v>
      </c>
      <c r="B75" s="45" t="s">
        <v>114</v>
      </c>
      <c r="C75" s="45" t="s">
        <v>133</v>
      </c>
      <c r="D75" s="48" t="s">
        <v>170</v>
      </c>
      <c r="E75" s="48" t="s">
        <v>444</v>
      </c>
      <c r="F75" s="45"/>
      <c r="G75" s="74">
        <f>G76</f>
        <v>1488000</v>
      </c>
      <c r="H75" s="112"/>
      <c r="I75" s="74">
        <f>I76</f>
        <v>1488000</v>
      </c>
      <c r="J75" s="112"/>
      <c r="K75" s="74">
        <f>K76</f>
        <v>1488000</v>
      </c>
      <c r="L75" s="112"/>
      <c r="M75" s="74">
        <f>M76</f>
        <v>1488000</v>
      </c>
      <c r="N75" s="113"/>
      <c r="O75" s="74">
        <f>O76</f>
        <v>1488000</v>
      </c>
      <c r="P75" s="113"/>
      <c r="Q75" s="74">
        <f>Q76</f>
        <v>1488000</v>
      </c>
      <c r="R75" s="113"/>
      <c r="S75" s="74">
        <f t="shared" si="2"/>
        <v>1488000</v>
      </c>
      <c r="T75" s="74">
        <f t="shared" si="2"/>
        <v>1488000</v>
      </c>
      <c r="U75" s="56">
        <f t="shared" si="0"/>
        <v>100</v>
      </c>
    </row>
    <row r="76" spans="1:21" ht="81.75" customHeight="1">
      <c r="A76" s="11" t="s">
        <v>591</v>
      </c>
      <c r="B76" s="45">
        <v>901</v>
      </c>
      <c r="C76" s="45" t="s">
        <v>133</v>
      </c>
      <c r="D76" s="48" t="s">
        <v>592</v>
      </c>
      <c r="E76" s="48" t="s">
        <v>236</v>
      </c>
      <c r="F76" s="45"/>
      <c r="G76" s="75">
        <f>G77</f>
        <v>1488000</v>
      </c>
      <c r="H76" s="112"/>
      <c r="I76" s="75">
        <f>I77</f>
        <v>1488000</v>
      </c>
      <c r="J76" s="112"/>
      <c r="K76" s="75">
        <f>K77</f>
        <v>1488000</v>
      </c>
      <c r="L76" s="112"/>
      <c r="M76" s="75">
        <f>M77</f>
        <v>1488000</v>
      </c>
      <c r="N76" s="113"/>
      <c r="O76" s="75">
        <f>O77</f>
        <v>1488000</v>
      </c>
      <c r="P76" s="113"/>
      <c r="Q76" s="75">
        <f>Q77</f>
        <v>1488000</v>
      </c>
      <c r="R76" s="113"/>
      <c r="S76" s="75">
        <f t="shared" si="2"/>
        <v>1488000</v>
      </c>
      <c r="T76" s="75">
        <f t="shared" si="2"/>
        <v>1488000</v>
      </c>
      <c r="U76" s="56">
        <f t="shared" si="0"/>
        <v>100</v>
      </c>
    </row>
    <row r="77" spans="1:21" ht="48" customHeight="1">
      <c r="A77" s="11" t="s">
        <v>33</v>
      </c>
      <c r="B77" s="45" t="s">
        <v>114</v>
      </c>
      <c r="C77" s="45" t="s">
        <v>133</v>
      </c>
      <c r="D77" s="48" t="s">
        <v>593</v>
      </c>
      <c r="E77" s="48" t="s">
        <v>237</v>
      </c>
      <c r="F77" s="45"/>
      <c r="G77" s="75">
        <f>G78+G79</f>
        <v>1488000</v>
      </c>
      <c r="H77" s="112"/>
      <c r="I77" s="75">
        <f>I78+I79</f>
        <v>1488000</v>
      </c>
      <c r="J77" s="112"/>
      <c r="K77" s="75">
        <f>K78+K79</f>
        <v>1488000</v>
      </c>
      <c r="L77" s="112"/>
      <c r="M77" s="75">
        <f>M78+M79</f>
        <v>1488000</v>
      </c>
      <c r="N77" s="113"/>
      <c r="O77" s="75">
        <f>O78+O79</f>
        <v>1488000</v>
      </c>
      <c r="P77" s="113"/>
      <c r="Q77" s="75">
        <f>Q78+Q79</f>
        <v>1488000</v>
      </c>
      <c r="R77" s="113"/>
      <c r="S77" s="75">
        <f>S78+S79</f>
        <v>1488000</v>
      </c>
      <c r="T77" s="75">
        <f>T78+T79</f>
        <v>1488000</v>
      </c>
      <c r="U77" s="56">
        <f aca="true" t="shared" si="3" ref="U77:U140">IF(S77=0,"-",IF(T77/S77*100&gt;110,"свыше 100",ROUND((T77/S77*100),1)))</f>
        <v>100</v>
      </c>
    </row>
    <row r="78" spans="1:21" ht="33" customHeight="1">
      <c r="A78" s="11" t="s">
        <v>34</v>
      </c>
      <c r="B78" s="45">
        <v>901</v>
      </c>
      <c r="C78" s="45" t="s">
        <v>133</v>
      </c>
      <c r="D78" s="45" t="s">
        <v>593</v>
      </c>
      <c r="E78" s="48" t="s">
        <v>237</v>
      </c>
      <c r="F78" s="45" t="s">
        <v>67</v>
      </c>
      <c r="G78" s="75">
        <f>1271840</f>
        <v>1271840</v>
      </c>
      <c r="H78" s="112"/>
      <c r="I78" s="75">
        <f>G78+H78</f>
        <v>1271840</v>
      </c>
      <c r="J78" s="112">
        <v>30189</v>
      </c>
      <c r="K78" s="75">
        <f>I78+J78</f>
        <v>1302029</v>
      </c>
      <c r="L78" s="112"/>
      <c r="M78" s="75">
        <f>K78+L78</f>
        <v>1302029</v>
      </c>
      <c r="N78" s="113"/>
      <c r="O78" s="75">
        <f>M78+N78</f>
        <v>1302029</v>
      </c>
      <c r="P78" s="113">
        <v>-9000</v>
      </c>
      <c r="Q78" s="75">
        <f>O78+P78</f>
        <v>1293029</v>
      </c>
      <c r="R78" s="113">
        <v>3493.63</v>
      </c>
      <c r="S78" s="75">
        <f>Q78+R78</f>
        <v>1296522.63</v>
      </c>
      <c r="T78" s="75">
        <v>1296522.63</v>
      </c>
      <c r="U78" s="56">
        <f t="shared" si="3"/>
        <v>100</v>
      </c>
    </row>
    <row r="79" spans="1:21" ht="34.5" customHeight="1">
      <c r="A79" s="9" t="s">
        <v>36</v>
      </c>
      <c r="B79" s="45">
        <v>901</v>
      </c>
      <c r="C79" s="45" t="s">
        <v>133</v>
      </c>
      <c r="D79" s="45" t="s">
        <v>593</v>
      </c>
      <c r="E79" s="48" t="s">
        <v>237</v>
      </c>
      <c r="F79" s="45" t="s">
        <v>59</v>
      </c>
      <c r="G79" s="74">
        <v>216160</v>
      </c>
      <c r="H79" s="112"/>
      <c r="I79" s="74">
        <f>G79+H79</f>
        <v>216160</v>
      </c>
      <c r="J79" s="112">
        <v>-30189</v>
      </c>
      <c r="K79" s="74">
        <f>I79+J79</f>
        <v>185971</v>
      </c>
      <c r="L79" s="112"/>
      <c r="M79" s="74">
        <f>K79+L79</f>
        <v>185971</v>
      </c>
      <c r="N79" s="113"/>
      <c r="O79" s="74">
        <f>M79+N79</f>
        <v>185971</v>
      </c>
      <c r="P79" s="113">
        <v>9000</v>
      </c>
      <c r="Q79" s="74">
        <f>O79+P79</f>
        <v>194971</v>
      </c>
      <c r="R79" s="113">
        <v>-3493.63</v>
      </c>
      <c r="S79" s="74">
        <f>Q79+R79</f>
        <v>191477.37</v>
      </c>
      <c r="T79" s="74">
        <v>191477.37</v>
      </c>
      <c r="U79" s="56">
        <f t="shared" si="3"/>
        <v>100</v>
      </c>
    </row>
    <row r="80" spans="1:21" ht="36" customHeight="1">
      <c r="A80" s="9" t="s">
        <v>134</v>
      </c>
      <c r="B80" s="45" t="s">
        <v>114</v>
      </c>
      <c r="C80" s="45" t="s">
        <v>98</v>
      </c>
      <c r="D80" s="45"/>
      <c r="E80" s="45"/>
      <c r="F80" s="45"/>
      <c r="G80" s="74">
        <f>G81+G91+G100</f>
        <v>4112100</v>
      </c>
      <c r="H80" s="112"/>
      <c r="I80" s="74">
        <f>I81+I91+I100</f>
        <v>4103850</v>
      </c>
      <c r="J80" s="112"/>
      <c r="K80" s="74">
        <f>K81+K91+K100</f>
        <v>3941320.58</v>
      </c>
      <c r="L80" s="112"/>
      <c r="M80" s="74">
        <f>M81+M91+M100</f>
        <v>3762227.5700000003</v>
      </c>
      <c r="N80" s="113"/>
      <c r="O80" s="74">
        <f>O81+O91+O100</f>
        <v>3636243.0700000003</v>
      </c>
      <c r="P80" s="113"/>
      <c r="Q80" s="74">
        <f>Q81+Q91+Q100</f>
        <v>3629195.0700000003</v>
      </c>
      <c r="R80" s="113"/>
      <c r="S80" s="74">
        <f>S81+S91+S100</f>
        <v>3465534.54</v>
      </c>
      <c r="T80" s="74">
        <f>T81+T91+T100</f>
        <v>3292719.97</v>
      </c>
      <c r="U80" s="56">
        <f t="shared" si="3"/>
        <v>95</v>
      </c>
    </row>
    <row r="81" spans="1:21" ht="63.75" customHeight="1">
      <c r="A81" s="9" t="s">
        <v>228</v>
      </c>
      <c r="B81" s="45">
        <v>901</v>
      </c>
      <c r="C81" s="45" t="s">
        <v>99</v>
      </c>
      <c r="D81" s="45"/>
      <c r="E81" s="45"/>
      <c r="F81" s="45"/>
      <c r="G81" s="74">
        <f>G82+G86</f>
        <v>2406600</v>
      </c>
      <c r="H81" s="112"/>
      <c r="I81" s="74">
        <f>I82+I86</f>
        <v>2406600</v>
      </c>
      <c r="J81" s="112"/>
      <c r="K81" s="74">
        <f>K82+K86</f>
        <v>2400670.58</v>
      </c>
      <c r="L81" s="112"/>
      <c r="M81" s="74">
        <f>M82+M86</f>
        <v>2261577.5700000003</v>
      </c>
      <c r="N81" s="113"/>
      <c r="O81" s="74">
        <f>O82+O86</f>
        <v>2255677.5700000003</v>
      </c>
      <c r="P81" s="113"/>
      <c r="Q81" s="74">
        <f>Q82+Q86</f>
        <v>2097778.5700000003</v>
      </c>
      <c r="R81" s="113"/>
      <c r="S81" s="74">
        <f>S82+S86</f>
        <v>2098573.9</v>
      </c>
      <c r="T81" s="74">
        <f>T82+T86</f>
        <v>1931168.81</v>
      </c>
      <c r="U81" s="56">
        <f t="shared" si="3"/>
        <v>92</v>
      </c>
    </row>
    <row r="82" spans="1:21" ht="63.75" customHeight="1">
      <c r="A82" s="42" t="s">
        <v>346</v>
      </c>
      <c r="B82" s="45" t="s">
        <v>114</v>
      </c>
      <c r="C82" s="45" t="s">
        <v>99</v>
      </c>
      <c r="D82" s="45" t="s">
        <v>170</v>
      </c>
      <c r="E82" s="45" t="s">
        <v>444</v>
      </c>
      <c r="F82" s="45"/>
      <c r="G82" s="74">
        <f>G83</f>
        <v>464400</v>
      </c>
      <c r="H82" s="112"/>
      <c r="I82" s="74">
        <f>I83</f>
        <v>464400</v>
      </c>
      <c r="J82" s="112"/>
      <c r="K82" s="74">
        <f>K83</f>
        <v>464400</v>
      </c>
      <c r="L82" s="112"/>
      <c r="M82" s="74">
        <f>M83</f>
        <v>385306.99</v>
      </c>
      <c r="N82" s="113"/>
      <c r="O82" s="74">
        <f>O83</f>
        <v>379406.99</v>
      </c>
      <c r="P82" s="113"/>
      <c r="Q82" s="74">
        <f>Q83</f>
        <v>226443.99</v>
      </c>
      <c r="R82" s="113"/>
      <c r="S82" s="74">
        <f aca="true" t="shared" si="4" ref="S82:T84">S83</f>
        <v>206447.32</v>
      </c>
      <c r="T82" s="74">
        <f t="shared" si="4"/>
        <v>94663.63</v>
      </c>
      <c r="U82" s="56">
        <f t="shared" si="3"/>
        <v>45.9</v>
      </c>
    </row>
    <row r="83" spans="1:21" ht="78" customHeight="1">
      <c r="A83" s="9" t="s">
        <v>200</v>
      </c>
      <c r="B83" s="45" t="s">
        <v>114</v>
      </c>
      <c r="C83" s="45" t="s">
        <v>99</v>
      </c>
      <c r="D83" s="45" t="s">
        <v>465</v>
      </c>
      <c r="E83" s="45" t="s">
        <v>445</v>
      </c>
      <c r="F83" s="45"/>
      <c r="G83" s="74">
        <f>G84</f>
        <v>464400</v>
      </c>
      <c r="H83" s="112"/>
      <c r="I83" s="74">
        <f>I84</f>
        <v>464400</v>
      </c>
      <c r="J83" s="112"/>
      <c r="K83" s="74">
        <f>K84</f>
        <v>464400</v>
      </c>
      <c r="L83" s="112"/>
      <c r="M83" s="74">
        <f>M84</f>
        <v>385306.99</v>
      </c>
      <c r="N83" s="113"/>
      <c r="O83" s="74">
        <f>O84</f>
        <v>379406.99</v>
      </c>
      <c r="P83" s="113"/>
      <c r="Q83" s="74">
        <f>Q84</f>
        <v>226443.99</v>
      </c>
      <c r="R83" s="113"/>
      <c r="S83" s="74">
        <f t="shared" si="4"/>
        <v>206447.32</v>
      </c>
      <c r="T83" s="74">
        <f t="shared" si="4"/>
        <v>94663.63</v>
      </c>
      <c r="U83" s="56">
        <f t="shared" si="3"/>
        <v>45.9</v>
      </c>
    </row>
    <row r="84" spans="1:21" ht="82.5" customHeight="1">
      <c r="A84" s="9" t="s">
        <v>201</v>
      </c>
      <c r="B84" s="45" t="s">
        <v>114</v>
      </c>
      <c r="C84" s="45" t="s">
        <v>99</v>
      </c>
      <c r="D84" s="45" t="s">
        <v>466</v>
      </c>
      <c r="E84" s="45" t="s">
        <v>10</v>
      </c>
      <c r="F84" s="45"/>
      <c r="G84" s="74">
        <f>G85</f>
        <v>464400</v>
      </c>
      <c r="H84" s="112"/>
      <c r="I84" s="74">
        <f>I85</f>
        <v>464400</v>
      </c>
      <c r="J84" s="112"/>
      <c r="K84" s="74">
        <f>K85</f>
        <v>464400</v>
      </c>
      <c r="L84" s="112"/>
      <c r="M84" s="74">
        <f>M85</f>
        <v>385306.99</v>
      </c>
      <c r="N84" s="113"/>
      <c r="O84" s="74">
        <f>O85</f>
        <v>379406.99</v>
      </c>
      <c r="P84" s="113"/>
      <c r="Q84" s="74">
        <f>Q85</f>
        <v>226443.99</v>
      </c>
      <c r="R84" s="113"/>
      <c r="S84" s="74">
        <f t="shared" si="4"/>
        <v>206447.32</v>
      </c>
      <c r="T84" s="74">
        <f t="shared" si="4"/>
        <v>94663.63</v>
      </c>
      <c r="U84" s="56">
        <f t="shared" si="3"/>
        <v>45.9</v>
      </c>
    </row>
    <row r="85" spans="1:21" ht="38.25" customHeight="1">
      <c r="A85" s="9" t="s">
        <v>36</v>
      </c>
      <c r="B85" s="45" t="s">
        <v>114</v>
      </c>
      <c r="C85" s="45" t="s">
        <v>99</v>
      </c>
      <c r="D85" s="45" t="s">
        <v>466</v>
      </c>
      <c r="E85" s="45" t="s">
        <v>10</v>
      </c>
      <c r="F85" s="45" t="s">
        <v>59</v>
      </c>
      <c r="G85" s="74">
        <v>464400</v>
      </c>
      <c r="H85" s="112"/>
      <c r="I85" s="74">
        <f>G85+H85</f>
        <v>464400</v>
      </c>
      <c r="J85" s="112"/>
      <c r="K85" s="74">
        <f>I85+J85</f>
        <v>464400</v>
      </c>
      <c r="L85" s="112">
        <f>-17342.93-10000-51750.08</f>
        <v>-79093.01000000001</v>
      </c>
      <c r="M85" s="74">
        <f>K85+L85</f>
        <v>385306.99</v>
      </c>
      <c r="N85" s="113">
        <v>-5900</v>
      </c>
      <c r="O85" s="74">
        <f>M85+N85</f>
        <v>379406.99</v>
      </c>
      <c r="P85" s="113">
        <v>-152963</v>
      </c>
      <c r="Q85" s="74">
        <f>O85+P85</f>
        <v>226443.99</v>
      </c>
      <c r="R85" s="113">
        <v>-19996.67</v>
      </c>
      <c r="S85" s="74">
        <f>Q85+R85</f>
        <v>206447.32</v>
      </c>
      <c r="T85" s="74">
        <v>94663.63</v>
      </c>
      <c r="U85" s="56">
        <f t="shared" si="3"/>
        <v>45.9</v>
      </c>
    </row>
    <row r="86" spans="1:21" ht="92.25" customHeight="1">
      <c r="A86" s="20" t="s">
        <v>231</v>
      </c>
      <c r="B86" s="45">
        <v>901</v>
      </c>
      <c r="C86" s="45" t="s">
        <v>99</v>
      </c>
      <c r="D86" s="45" t="s">
        <v>94</v>
      </c>
      <c r="E86" s="45" t="s">
        <v>368</v>
      </c>
      <c r="F86" s="45"/>
      <c r="G86" s="74">
        <f>G87</f>
        <v>1942200</v>
      </c>
      <c r="H86" s="112"/>
      <c r="I86" s="74">
        <f>I87</f>
        <v>1942200</v>
      </c>
      <c r="J86" s="112"/>
      <c r="K86" s="74">
        <f>K87</f>
        <v>1936270.58</v>
      </c>
      <c r="L86" s="112"/>
      <c r="M86" s="74">
        <f>M87</f>
        <v>1876270.58</v>
      </c>
      <c r="N86" s="113"/>
      <c r="O86" s="74">
        <f>O87</f>
        <v>1876270.58</v>
      </c>
      <c r="P86" s="113"/>
      <c r="Q86" s="74">
        <f>Q87</f>
        <v>1871334.58</v>
      </c>
      <c r="R86" s="113"/>
      <c r="S86" s="74">
        <f>S87</f>
        <v>1892126.58</v>
      </c>
      <c r="T86" s="74">
        <f>T87</f>
        <v>1836505.18</v>
      </c>
      <c r="U86" s="56">
        <f t="shared" si="3"/>
        <v>97.1</v>
      </c>
    </row>
    <row r="87" spans="1:21" ht="30" customHeight="1">
      <c r="A87" s="20" t="s">
        <v>318</v>
      </c>
      <c r="B87" s="45" t="s">
        <v>114</v>
      </c>
      <c r="C87" s="45" t="s">
        <v>99</v>
      </c>
      <c r="D87" s="45" t="s">
        <v>322</v>
      </c>
      <c r="E87" s="45" t="s">
        <v>369</v>
      </c>
      <c r="F87" s="45"/>
      <c r="G87" s="74">
        <f>G88</f>
        <v>1942200</v>
      </c>
      <c r="H87" s="112"/>
      <c r="I87" s="74">
        <f>I88</f>
        <v>1942200</v>
      </c>
      <c r="J87" s="112"/>
      <c r="K87" s="74">
        <f>K88</f>
        <v>1936270.58</v>
      </c>
      <c r="L87" s="112"/>
      <c r="M87" s="74">
        <f>M88</f>
        <v>1876270.58</v>
      </c>
      <c r="N87" s="113"/>
      <c r="O87" s="74">
        <f>O88</f>
        <v>1876270.58</v>
      </c>
      <c r="P87" s="113"/>
      <c r="Q87" s="74">
        <f>Q88</f>
        <v>1871334.58</v>
      </c>
      <c r="R87" s="113"/>
      <c r="S87" s="74">
        <f>S88</f>
        <v>1892126.58</v>
      </c>
      <c r="T87" s="74">
        <f>T88</f>
        <v>1836505.18</v>
      </c>
      <c r="U87" s="56">
        <f t="shared" si="3"/>
        <v>97.1</v>
      </c>
    </row>
    <row r="88" spans="1:21" ht="18" customHeight="1">
      <c r="A88" s="13" t="s">
        <v>319</v>
      </c>
      <c r="B88" s="45" t="s">
        <v>114</v>
      </c>
      <c r="C88" s="45" t="s">
        <v>99</v>
      </c>
      <c r="D88" s="45" t="s">
        <v>317</v>
      </c>
      <c r="E88" s="45" t="s">
        <v>238</v>
      </c>
      <c r="F88" s="45"/>
      <c r="G88" s="74">
        <f>G89+G90</f>
        <v>1942200</v>
      </c>
      <c r="H88" s="112"/>
      <c r="I88" s="74">
        <f>I89+I90</f>
        <v>1942200</v>
      </c>
      <c r="J88" s="112"/>
      <c r="K88" s="74">
        <f>K89+K90</f>
        <v>1936270.58</v>
      </c>
      <c r="L88" s="112"/>
      <c r="M88" s="74">
        <f>M89+M90</f>
        <v>1876270.58</v>
      </c>
      <c r="N88" s="113"/>
      <c r="O88" s="74">
        <f>O89+O90</f>
        <v>1876270.58</v>
      </c>
      <c r="P88" s="113"/>
      <c r="Q88" s="74">
        <f>Q89+Q90</f>
        <v>1871334.58</v>
      </c>
      <c r="R88" s="113"/>
      <c r="S88" s="74">
        <f>S89+S90</f>
        <v>1892126.58</v>
      </c>
      <c r="T88" s="74">
        <f>T89+T90</f>
        <v>1836505.18</v>
      </c>
      <c r="U88" s="56">
        <f t="shared" si="3"/>
        <v>97.1</v>
      </c>
    </row>
    <row r="89" spans="1:21" ht="36" customHeight="1">
      <c r="A89" s="9" t="s">
        <v>35</v>
      </c>
      <c r="B89" s="45" t="s">
        <v>114</v>
      </c>
      <c r="C89" s="45" t="s">
        <v>99</v>
      </c>
      <c r="D89" s="45" t="s">
        <v>317</v>
      </c>
      <c r="E89" s="45" t="s">
        <v>238</v>
      </c>
      <c r="F89" s="45" t="s">
        <v>57</v>
      </c>
      <c r="G89" s="74">
        <v>1546346</v>
      </c>
      <c r="H89" s="112"/>
      <c r="I89" s="74">
        <f>G89+H89</f>
        <v>1546346</v>
      </c>
      <c r="J89" s="112"/>
      <c r="K89" s="74">
        <f>I89+J89</f>
        <v>1546346</v>
      </c>
      <c r="L89" s="112"/>
      <c r="M89" s="74">
        <f>K89+L89</f>
        <v>1546346</v>
      </c>
      <c r="N89" s="113"/>
      <c r="O89" s="74">
        <f>M89+N89</f>
        <v>1546346</v>
      </c>
      <c r="P89" s="113"/>
      <c r="Q89" s="74">
        <f>O89+P89</f>
        <v>1546346</v>
      </c>
      <c r="R89" s="113">
        <v>57196</v>
      </c>
      <c r="S89" s="74">
        <f>Q89+R89</f>
        <v>1603542</v>
      </c>
      <c r="T89" s="74">
        <v>1588238.24</v>
      </c>
      <c r="U89" s="56">
        <f t="shared" si="3"/>
        <v>99</v>
      </c>
    </row>
    <row r="90" spans="1:21" ht="32.25" customHeight="1">
      <c r="A90" s="9" t="s">
        <v>36</v>
      </c>
      <c r="B90" s="45" t="s">
        <v>114</v>
      </c>
      <c r="C90" s="45" t="s">
        <v>99</v>
      </c>
      <c r="D90" s="45" t="s">
        <v>317</v>
      </c>
      <c r="E90" s="45" t="s">
        <v>238</v>
      </c>
      <c r="F90" s="45" t="s">
        <v>59</v>
      </c>
      <c r="G90" s="74">
        <v>395854</v>
      </c>
      <c r="H90" s="112"/>
      <c r="I90" s="74">
        <f>G90+H90</f>
        <v>395854</v>
      </c>
      <c r="J90" s="112">
        <v>-5929.42</v>
      </c>
      <c r="K90" s="74">
        <f>I90+J90</f>
        <v>389924.58</v>
      </c>
      <c r="L90" s="112">
        <v>-60000</v>
      </c>
      <c r="M90" s="74">
        <f>K90+L90</f>
        <v>329924.58</v>
      </c>
      <c r="N90" s="113"/>
      <c r="O90" s="74">
        <f>M90+N90</f>
        <v>329924.58</v>
      </c>
      <c r="P90" s="113">
        <v>-4936</v>
      </c>
      <c r="Q90" s="74">
        <f>O90+P90</f>
        <v>324988.58</v>
      </c>
      <c r="R90" s="113">
        <v>-36404</v>
      </c>
      <c r="S90" s="74">
        <f>Q90+R90</f>
        <v>288584.58</v>
      </c>
      <c r="T90" s="74">
        <v>248266.94</v>
      </c>
      <c r="U90" s="56">
        <f t="shared" si="3"/>
        <v>86</v>
      </c>
    </row>
    <row r="91" spans="1:21" ht="20.25" customHeight="1">
      <c r="A91" s="9" t="s">
        <v>135</v>
      </c>
      <c r="B91" s="45">
        <v>901</v>
      </c>
      <c r="C91" s="45" t="s">
        <v>100</v>
      </c>
      <c r="D91" s="45"/>
      <c r="E91" s="45"/>
      <c r="F91" s="45"/>
      <c r="G91" s="74">
        <f>G92</f>
        <v>1152900</v>
      </c>
      <c r="H91" s="112"/>
      <c r="I91" s="74">
        <f>I92</f>
        <v>1152900</v>
      </c>
      <c r="J91" s="112"/>
      <c r="K91" s="74">
        <f>K92</f>
        <v>1152900</v>
      </c>
      <c r="L91" s="112"/>
      <c r="M91" s="74">
        <f>M92</f>
        <v>1152900</v>
      </c>
      <c r="N91" s="113"/>
      <c r="O91" s="74">
        <f>O92</f>
        <v>1155583.5</v>
      </c>
      <c r="P91" s="113"/>
      <c r="Q91" s="74">
        <f>Q92</f>
        <v>1307434.5</v>
      </c>
      <c r="R91" s="113"/>
      <c r="S91" s="74">
        <f>S92</f>
        <v>1207567.6400000001</v>
      </c>
      <c r="T91" s="74">
        <f>T92</f>
        <v>1202158.1600000001</v>
      </c>
      <c r="U91" s="56">
        <f t="shared" si="3"/>
        <v>99.6</v>
      </c>
    </row>
    <row r="92" spans="1:21" ht="66" customHeight="1">
      <c r="A92" s="42" t="s">
        <v>346</v>
      </c>
      <c r="B92" s="45" t="s">
        <v>114</v>
      </c>
      <c r="C92" s="45" t="s">
        <v>100</v>
      </c>
      <c r="D92" s="45" t="s">
        <v>170</v>
      </c>
      <c r="E92" s="45" t="s">
        <v>444</v>
      </c>
      <c r="F92" s="45"/>
      <c r="G92" s="74">
        <f>G93</f>
        <v>1152900</v>
      </c>
      <c r="H92" s="112"/>
      <c r="I92" s="74">
        <f>I93</f>
        <v>1152900</v>
      </c>
      <c r="J92" s="112"/>
      <c r="K92" s="74">
        <f>K93</f>
        <v>1152900</v>
      </c>
      <c r="L92" s="112"/>
      <c r="M92" s="74">
        <f>M93</f>
        <v>1152900</v>
      </c>
      <c r="N92" s="113"/>
      <c r="O92" s="74">
        <f>O93</f>
        <v>1155583.5</v>
      </c>
      <c r="P92" s="113"/>
      <c r="Q92" s="74">
        <f>Q93</f>
        <v>1307434.5</v>
      </c>
      <c r="R92" s="113"/>
      <c r="S92" s="74">
        <f>S93</f>
        <v>1207567.6400000001</v>
      </c>
      <c r="T92" s="74">
        <f>T93</f>
        <v>1202158.1600000001</v>
      </c>
      <c r="U92" s="56">
        <f t="shared" si="3"/>
        <v>99.6</v>
      </c>
    </row>
    <row r="93" spans="1:21" ht="49.5" customHeight="1">
      <c r="A93" s="9" t="s">
        <v>467</v>
      </c>
      <c r="B93" s="45" t="s">
        <v>114</v>
      </c>
      <c r="C93" s="45" t="s">
        <v>100</v>
      </c>
      <c r="D93" s="45" t="s">
        <v>468</v>
      </c>
      <c r="E93" s="45" t="s">
        <v>239</v>
      </c>
      <c r="F93" s="45"/>
      <c r="G93" s="74">
        <f>G94+G98</f>
        <v>1152900</v>
      </c>
      <c r="H93" s="112"/>
      <c r="I93" s="74">
        <f>I94+I98</f>
        <v>1152900</v>
      </c>
      <c r="J93" s="112"/>
      <c r="K93" s="74">
        <f>K94+K98</f>
        <v>1152900</v>
      </c>
      <c r="L93" s="112"/>
      <c r="M93" s="74">
        <f>M94+M98</f>
        <v>1152900</v>
      </c>
      <c r="N93" s="113"/>
      <c r="O93" s="74">
        <f>O94+O98</f>
        <v>1155583.5</v>
      </c>
      <c r="P93" s="113"/>
      <c r="Q93" s="74">
        <f>Q94+Q98</f>
        <v>1307434.5</v>
      </c>
      <c r="R93" s="113"/>
      <c r="S93" s="74">
        <f>S94+S98</f>
        <v>1207567.6400000001</v>
      </c>
      <c r="T93" s="74">
        <f>T94+T98</f>
        <v>1202158.1600000001</v>
      </c>
      <c r="U93" s="56">
        <f t="shared" si="3"/>
        <v>99.6</v>
      </c>
    </row>
    <row r="94" spans="1:21" ht="33" customHeight="1">
      <c r="A94" s="9" t="s">
        <v>469</v>
      </c>
      <c r="B94" s="45" t="s">
        <v>114</v>
      </c>
      <c r="C94" s="45" t="s">
        <v>100</v>
      </c>
      <c r="D94" s="45" t="s">
        <v>470</v>
      </c>
      <c r="E94" s="45" t="s">
        <v>240</v>
      </c>
      <c r="F94" s="45"/>
      <c r="G94" s="74">
        <f>G95+G97+G96</f>
        <v>710900</v>
      </c>
      <c r="H94" s="112"/>
      <c r="I94" s="74">
        <f>I95+I97+I96</f>
        <v>750900</v>
      </c>
      <c r="J94" s="112"/>
      <c r="K94" s="74">
        <f>K95+K97+K96</f>
        <v>750900</v>
      </c>
      <c r="L94" s="112"/>
      <c r="M94" s="74">
        <f>M95+M97+M96</f>
        <v>750900</v>
      </c>
      <c r="N94" s="113"/>
      <c r="O94" s="74">
        <f>O95+O97+O96</f>
        <v>753583.5</v>
      </c>
      <c r="P94" s="113"/>
      <c r="Q94" s="74">
        <f>Q95+Q97+Q96</f>
        <v>774442.5</v>
      </c>
      <c r="R94" s="113"/>
      <c r="S94" s="74">
        <f>S95+S97+S96</f>
        <v>670574.36</v>
      </c>
      <c r="T94" s="74">
        <f>T95+T97+T96</f>
        <v>665164.88</v>
      </c>
      <c r="U94" s="56">
        <f t="shared" si="3"/>
        <v>99.2</v>
      </c>
    </row>
    <row r="95" spans="1:21" ht="30.75" customHeight="1">
      <c r="A95" s="9" t="s">
        <v>36</v>
      </c>
      <c r="B95" s="45" t="s">
        <v>114</v>
      </c>
      <c r="C95" s="45" t="s">
        <v>100</v>
      </c>
      <c r="D95" s="45" t="s">
        <v>470</v>
      </c>
      <c r="E95" s="45" t="s">
        <v>240</v>
      </c>
      <c r="F95" s="45" t="s">
        <v>59</v>
      </c>
      <c r="G95" s="74">
        <f>694000-56000</f>
        <v>638000</v>
      </c>
      <c r="H95" s="112">
        <v>40000</v>
      </c>
      <c r="I95" s="74">
        <f>G95+H95</f>
        <v>678000</v>
      </c>
      <c r="J95" s="112"/>
      <c r="K95" s="74">
        <f>I95+J95</f>
        <v>678000</v>
      </c>
      <c r="L95" s="112">
        <v>-45000</v>
      </c>
      <c r="M95" s="74">
        <f>K95+L95</f>
        <v>633000</v>
      </c>
      <c r="N95" s="113">
        <v>2683.5</v>
      </c>
      <c r="O95" s="74">
        <f>M95+N95</f>
        <v>635683.5</v>
      </c>
      <c r="P95" s="113">
        <f>-3000-9000+21971+10888</f>
        <v>20859</v>
      </c>
      <c r="Q95" s="74">
        <f>O95+P95</f>
        <v>656542.5</v>
      </c>
      <c r="R95" s="113">
        <f>-85839.6-1128.54</f>
        <v>-86968.14</v>
      </c>
      <c r="S95" s="74">
        <f>Q95+R95</f>
        <v>569574.36</v>
      </c>
      <c r="T95" s="74">
        <v>564164.88</v>
      </c>
      <c r="U95" s="56">
        <f t="shared" si="3"/>
        <v>99.1</v>
      </c>
    </row>
    <row r="96" spans="1:21" ht="0.75" customHeight="1" hidden="1">
      <c r="A96" s="9" t="s">
        <v>83</v>
      </c>
      <c r="B96" s="45" t="s">
        <v>114</v>
      </c>
      <c r="C96" s="45" t="s">
        <v>100</v>
      </c>
      <c r="D96" s="45" t="s">
        <v>470</v>
      </c>
      <c r="E96" s="45" t="s">
        <v>240</v>
      </c>
      <c r="F96" s="45" t="s">
        <v>82</v>
      </c>
      <c r="G96" s="74">
        <v>8000</v>
      </c>
      <c r="H96" s="112"/>
      <c r="I96" s="74">
        <f>G96+H96</f>
        <v>8000</v>
      </c>
      <c r="J96" s="112"/>
      <c r="K96" s="74">
        <f>I96+J96</f>
        <v>8000</v>
      </c>
      <c r="L96" s="112"/>
      <c r="M96" s="74">
        <f>K96+L96</f>
        <v>8000</v>
      </c>
      <c r="N96" s="113"/>
      <c r="O96" s="74">
        <f>M96+N96</f>
        <v>8000</v>
      </c>
      <c r="P96" s="113"/>
      <c r="Q96" s="74">
        <f>O96+P96</f>
        <v>8000</v>
      </c>
      <c r="R96" s="113">
        <v>-8000</v>
      </c>
      <c r="S96" s="74">
        <f>Q96+R96</f>
        <v>0</v>
      </c>
      <c r="T96" s="74">
        <v>0</v>
      </c>
      <c r="U96" s="56" t="str">
        <f t="shared" si="3"/>
        <v>-</v>
      </c>
    </row>
    <row r="97" spans="1:21" ht="19.5" customHeight="1">
      <c r="A97" s="34" t="s">
        <v>213</v>
      </c>
      <c r="B97" s="57" t="s">
        <v>114</v>
      </c>
      <c r="C97" s="49" t="s">
        <v>100</v>
      </c>
      <c r="D97" s="49" t="s">
        <v>470</v>
      </c>
      <c r="E97" s="45" t="s">
        <v>240</v>
      </c>
      <c r="F97" s="49" t="s">
        <v>211</v>
      </c>
      <c r="G97" s="74">
        <f>8900+56000</f>
        <v>64900</v>
      </c>
      <c r="H97" s="112"/>
      <c r="I97" s="74">
        <f>G97+H97</f>
        <v>64900</v>
      </c>
      <c r="J97" s="112"/>
      <c r="K97" s="74">
        <f>I97+J97</f>
        <v>64900</v>
      </c>
      <c r="L97" s="112">
        <v>45000</v>
      </c>
      <c r="M97" s="74">
        <f>K97+L97</f>
        <v>109900</v>
      </c>
      <c r="N97" s="113"/>
      <c r="O97" s="74">
        <f>M97+N97</f>
        <v>109900</v>
      </c>
      <c r="P97" s="113"/>
      <c r="Q97" s="74">
        <f>O97+P97</f>
        <v>109900</v>
      </c>
      <c r="R97" s="113">
        <v>-8900</v>
      </c>
      <c r="S97" s="74">
        <f>Q97+R97</f>
        <v>101000</v>
      </c>
      <c r="T97" s="74">
        <v>101000</v>
      </c>
      <c r="U97" s="56">
        <f t="shared" si="3"/>
        <v>100</v>
      </c>
    </row>
    <row r="98" spans="1:21" ht="66" customHeight="1">
      <c r="A98" s="21" t="s">
        <v>471</v>
      </c>
      <c r="B98" s="45" t="s">
        <v>114</v>
      </c>
      <c r="C98" s="45" t="s">
        <v>100</v>
      </c>
      <c r="D98" s="45" t="s">
        <v>472</v>
      </c>
      <c r="E98" s="45" t="s">
        <v>241</v>
      </c>
      <c r="F98" s="45"/>
      <c r="G98" s="75">
        <f>G99</f>
        <v>442000</v>
      </c>
      <c r="H98" s="112"/>
      <c r="I98" s="75">
        <f>I99</f>
        <v>402000</v>
      </c>
      <c r="J98" s="112"/>
      <c r="K98" s="75">
        <f>K99</f>
        <v>402000</v>
      </c>
      <c r="L98" s="112"/>
      <c r="M98" s="75">
        <f>M99</f>
        <v>402000</v>
      </c>
      <c r="N98" s="113"/>
      <c r="O98" s="75">
        <f>O99</f>
        <v>402000</v>
      </c>
      <c r="P98" s="113"/>
      <c r="Q98" s="75">
        <f>Q99</f>
        <v>532992</v>
      </c>
      <c r="R98" s="113"/>
      <c r="S98" s="75">
        <f>S99</f>
        <v>536993.28</v>
      </c>
      <c r="T98" s="75">
        <f>T99</f>
        <v>536993.28</v>
      </c>
      <c r="U98" s="56">
        <f t="shared" si="3"/>
        <v>100</v>
      </c>
    </row>
    <row r="99" spans="1:21" ht="36.75" customHeight="1">
      <c r="A99" s="9" t="s">
        <v>36</v>
      </c>
      <c r="B99" s="45" t="s">
        <v>114</v>
      </c>
      <c r="C99" s="45" t="s">
        <v>100</v>
      </c>
      <c r="D99" s="45" t="s">
        <v>472</v>
      </c>
      <c r="E99" s="45" t="s">
        <v>241</v>
      </c>
      <c r="F99" s="45" t="s">
        <v>59</v>
      </c>
      <c r="G99" s="75">
        <v>442000</v>
      </c>
      <c r="H99" s="112">
        <v>-40000</v>
      </c>
      <c r="I99" s="75">
        <f>G99+H99</f>
        <v>402000</v>
      </c>
      <c r="J99" s="112"/>
      <c r="K99" s="75">
        <f>I99+J99</f>
        <v>402000</v>
      </c>
      <c r="L99" s="112"/>
      <c r="M99" s="75">
        <f>K99+L99</f>
        <v>402000</v>
      </c>
      <c r="N99" s="113"/>
      <c r="O99" s="75">
        <f>M99+N99</f>
        <v>402000</v>
      </c>
      <c r="P99" s="113">
        <v>130992</v>
      </c>
      <c r="Q99" s="75">
        <f>O99+P99</f>
        <v>532992</v>
      </c>
      <c r="R99" s="113">
        <f>14961.28-10960</f>
        <v>4001.2800000000007</v>
      </c>
      <c r="S99" s="75">
        <f>Q99+R99</f>
        <v>536993.28</v>
      </c>
      <c r="T99" s="75">
        <v>536993.28</v>
      </c>
      <c r="U99" s="56">
        <f t="shared" si="3"/>
        <v>100</v>
      </c>
    </row>
    <row r="100" spans="1:21" ht="32.25" customHeight="1">
      <c r="A100" s="9" t="s">
        <v>473</v>
      </c>
      <c r="B100" s="45" t="s">
        <v>114</v>
      </c>
      <c r="C100" s="45" t="s">
        <v>474</v>
      </c>
      <c r="D100" s="45"/>
      <c r="E100" s="45"/>
      <c r="F100" s="45"/>
      <c r="G100" s="75">
        <f>G101</f>
        <v>552600</v>
      </c>
      <c r="H100" s="112"/>
      <c r="I100" s="75">
        <f>I101</f>
        <v>544350</v>
      </c>
      <c r="J100" s="112"/>
      <c r="K100" s="75">
        <f>K101</f>
        <v>387750</v>
      </c>
      <c r="L100" s="113"/>
      <c r="M100" s="75">
        <f>M101</f>
        <v>347750</v>
      </c>
      <c r="N100" s="113"/>
      <c r="O100" s="75">
        <f>O101</f>
        <v>224982</v>
      </c>
      <c r="P100" s="113"/>
      <c r="Q100" s="75">
        <f>Q101</f>
        <v>223982</v>
      </c>
      <c r="R100" s="113"/>
      <c r="S100" s="75">
        <f>S101</f>
        <v>159393</v>
      </c>
      <c r="T100" s="75">
        <f>T101</f>
        <v>159393</v>
      </c>
      <c r="U100" s="56">
        <f t="shared" si="3"/>
        <v>100</v>
      </c>
    </row>
    <row r="101" spans="1:21" ht="63.75" customHeight="1">
      <c r="A101" s="42" t="s">
        <v>346</v>
      </c>
      <c r="B101" s="45" t="s">
        <v>114</v>
      </c>
      <c r="C101" s="45" t="s">
        <v>474</v>
      </c>
      <c r="D101" s="45" t="s">
        <v>170</v>
      </c>
      <c r="E101" s="45" t="s">
        <v>444</v>
      </c>
      <c r="F101" s="45"/>
      <c r="G101" s="75">
        <f>G102+G106</f>
        <v>552600</v>
      </c>
      <c r="H101" s="112"/>
      <c r="I101" s="75">
        <f>I102+I106</f>
        <v>544350</v>
      </c>
      <c r="J101" s="112"/>
      <c r="K101" s="75">
        <f>K102+K106</f>
        <v>387750</v>
      </c>
      <c r="L101" s="112"/>
      <c r="M101" s="75">
        <f>M102+M106</f>
        <v>347750</v>
      </c>
      <c r="N101" s="113"/>
      <c r="O101" s="75">
        <f>O102+O106</f>
        <v>224982</v>
      </c>
      <c r="P101" s="113"/>
      <c r="Q101" s="75">
        <f>Q102+Q106</f>
        <v>223982</v>
      </c>
      <c r="R101" s="113"/>
      <c r="S101" s="75">
        <f>S102+S106</f>
        <v>159393</v>
      </c>
      <c r="T101" s="75">
        <f>T102+T106</f>
        <v>159393</v>
      </c>
      <c r="U101" s="56">
        <f t="shared" si="3"/>
        <v>100</v>
      </c>
    </row>
    <row r="102" spans="1:21" ht="49.5" customHeight="1">
      <c r="A102" s="13" t="s">
        <v>347</v>
      </c>
      <c r="B102" s="45" t="s">
        <v>114</v>
      </c>
      <c r="C102" s="45" t="s">
        <v>474</v>
      </c>
      <c r="D102" s="45" t="s">
        <v>345</v>
      </c>
      <c r="E102" s="45" t="s">
        <v>242</v>
      </c>
      <c r="F102" s="45"/>
      <c r="G102" s="75">
        <f>G103</f>
        <v>270000</v>
      </c>
      <c r="H102" s="112"/>
      <c r="I102" s="75">
        <f>I103</f>
        <v>261750</v>
      </c>
      <c r="J102" s="112"/>
      <c r="K102" s="75">
        <f>K103</f>
        <v>205150</v>
      </c>
      <c r="L102" s="112"/>
      <c r="M102" s="75">
        <f>M103</f>
        <v>195150</v>
      </c>
      <c r="N102" s="113"/>
      <c r="O102" s="75">
        <f>O103</f>
        <v>195150</v>
      </c>
      <c r="P102" s="113"/>
      <c r="Q102" s="75">
        <f>Q103</f>
        <v>194150</v>
      </c>
      <c r="R102" s="113"/>
      <c r="S102" s="75">
        <f>S103</f>
        <v>159393</v>
      </c>
      <c r="T102" s="75">
        <f>T103</f>
        <v>159393</v>
      </c>
      <c r="U102" s="56">
        <f t="shared" si="3"/>
        <v>100</v>
      </c>
    </row>
    <row r="103" spans="1:21" ht="32.25" customHeight="1">
      <c r="A103" s="22" t="s">
        <v>343</v>
      </c>
      <c r="B103" s="45">
        <v>901</v>
      </c>
      <c r="C103" s="45" t="s">
        <v>474</v>
      </c>
      <c r="D103" s="45" t="s">
        <v>344</v>
      </c>
      <c r="E103" s="45" t="s">
        <v>243</v>
      </c>
      <c r="F103" s="45"/>
      <c r="G103" s="75">
        <f>G104+G105</f>
        <v>270000</v>
      </c>
      <c r="H103" s="112"/>
      <c r="I103" s="75">
        <f>I104+I105</f>
        <v>261750</v>
      </c>
      <c r="J103" s="112"/>
      <c r="K103" s="75">
        <f>K104+K105</f>
        <v>205150</v>
      </c>
      <c r="L103" s="112"/>
      <c r="M103" s="75">
        <f>M104+M105</f>
        <v>195150</v>
      </c>
      <c r="N103" s="113"/>
      <c r="O103" s="75">
        <f>O104+O105</f>
        <v>195150</v>
      </c>
      <c r="P103" s="113"/>
      <c r="Q103" s="75">
        <f>Q104+Q105</f>
        <v>194150</v>
      </c>
      <c r="R103" s="113"/>
      <c r="S103" s="75">
        <f>S104+S105</f>
        <v>159393</v>
      </c>
      <c r="T103" s="75">
        <f>T104+T105</f>
        <v>159393</v>
      </c>
      <c r="U103" s="56">
        <f t="shared" si="3"/>
        <v>100</v>
      </c>
    </row>
    <row r="104" spans="1:21" ht="32.25" customHeight="1">
      <c r="A104" s="9" t="s">
        <v>36</v>
      </c>
      <c r="B104" s="45">
        <v>901</v>
      </c>
      <c r="C104" s="45" t="s">
        <v>474</v>
      </c>
      <c r="D104" s="45" t="s">
        <v>344</v>
      </c>
      <c r="E104" s="45" t="s">
        <v>243</v>
      </c>
      <c r="F104" s="45" t="s">
        <v>59</v>
      </c>
      <c r="G104" s="75">
        <f>210000-30000</f>
        <v>180000</v>
      </c>
      <c r="H104" s="112">
        <v>-8250</v>
      </c>
      <c r="I104" s="75">
        <f>G104+H104</f>
        <v>171750</v>
      </c>
      <c r="J104" s="112">
        <v>-56600</v>
      </c>
      <c r="K104" s="75">
        <f>I104+J104</f>
        <v>115150</v>
      </c>
      <c r="L104" s="112">
        <v>-10000</v>
      </c>
      <c r="M104" s="75">
        <f>K104+L104</f>
        <v>105150</v>
      </c>
      <c r="N104" s="113"/>
      <c r="O104" s="75">
        <f>M104+N104</f>
        <v>105150</v>
      </c>
      <c r="P104" s="113"/>
      <c r="Q104" s="75">
        <f>O104+P104</f>
        <v>105150</v>
      </c>
      <c r="R104" s="113">
        <v>-30802</v>
      </c>
      <c r="S104" s="75">
        <f>Q104+R104</f>
        <v>74348</v>
      </c>
      <c r="T104" s="75">
        <v>74348</v>
      </c>
      <c r="U104" s="56">
        <f t="shared" si="3"/>
        <v>100</v>
      </c>
    </row>
    <row r="105" spans="1:21" ht="16.5" customHeight="1">
      <c r="A105" s="9" t="s">
        <v>213</v>
      </c>
      <c r="B105" s="45" t="s">
        <v>114</v>
      </c>
      <c r="C105" s="45" t="s">
        <v>474</v>
      </c>
      <c r="D105" s="45" t="s">
        <v>344</v>
      </c>
      <c r="E105" s="45" t="s">
        <v>243</v>
      </c>
      <c r="F105" s="45" t="s">
        <v>211</v>
      </c>
      <c r="G105" s="74">
        <f>60000+30000</f>
        <v>90000</v>
      </c>
      <c r="H105" s="112"/>
      <c r="I105" s="75">
        <f>G105+H105</f>
        <v>90000</v>
      </c>
      <c r="J105" s="112"/>
      <c r="K105" s="75">
        <f>I105+J105</f>
        <v>90000</v>
      </c>
      <c r="L105" s="112"/>
      <c r="M105" s="75">
        <f>K105+L105</f>
        <v>90000</v>
      </c>
      <c r="N105" s="113"/>
      <c r="O105" s="75">
        <f>M105+N105</f>
        <v>90000</v>
      </c>
      <c r="P105" s="113">
        <v>-1000</v>
      </c>
      <c r="Q105" s="75">
        <f>O105+P105</f>
        <v>89000</v>
      </c>
      <c r="R105" s="113">
        <v>-3955</v>
      </c>
      <c r="S105" s="75">
        <f>Q105+R105</f>
        <v>85045</v>
      </c>
      <c r="T105" s="75">
        <v>85045</v>
      </c>
      <c r="U105" s="56">
        <f t="shared" si="3"/>
        <v>100</v>
      </c>
    </row>
    <row r="106" spans="1:21" ht="0.75" customHeight="1" hidden="1">
      <c r="A106" s="9" t="s">
        <v>475</v>
      </c>
      <c r="B106" s="45" t="s">
        <v>114</v>
      </c>
      <c r="C106" s="45" t="s">
        <v>474</v>
      </c>
      <c r="D106" s="45" t="s">
        <v>476</v>
      </c>
      <c r="E106" s="45" t="s">
        <v>244</v>
      </c>
      <c r="F106" s="45"/>
      <c r="G106" s="75">
        <f>G107</f>
        <v>282600</v>
      </c>
      <c r="H106" s="112"/>
      <c r="I106" s="75">
        <f>I107</f>
        <v>282600</v>
      </c>
      <c r="J106" s="112"/>
      <c r="K106" s="75">
        <f>K107</f>
        <v>182600</v>
      </c>
      <c r="L106" s="112"/>
      <c r="M106" s="75">
        <f>M107</f>
        <v>152600</v>
      </c>
      <c r="N106" s="113"/>
      <c r="O106" s="75">
        <f>O107</f>
        <v>29832</v>
      </c>
      <c r="P106" s="113"/>
      <c r="Q106" s="75">
        <f>Q107</f>
        <v>29832</v>
      </c>
      <c r="R106" s="113"/>
      <c r="S106" s="75">
        <f>S107</f>
        <v>0</v>
      </c>
      <c r="T106" s="75">
        <f>T107</f>
        <v>0</v>
      </c>
      <c r="U106" s="56" t="str">
        <f t="shared" si="3"/>
        <v>-</v>
      </c>
    </row>
    <row r="107" spans="1:21" ht="0.75" customHeight="1" hidden="1">
      <c r="A107" s="9" t="s">
        <v>477</v>
      </c>
      <c r="B107" s="45" t="s">
        <v>114</v>
      </c>
      <c r="C107" s="45" t="s">
        <v>474</v>
      </c>
      <c r="D107" s="45" t="s">
        <v>478</v>
      </c>
      <c r="E107" s="45" t="s">
        <v>245</v>
      </c>
      <c r="F107" s="45"/>
      <c r="G107" s="75">
        <f>G108</f>
        <v>282600</v>
      </c>
      <c r="H107" s="112"/>
      <c r="I107" s="75">
        <f>I108</f>
        <v>282600</v>
      </c>
      <c r="J107" s="112"/>
      <c r="K107" s="75">
        <f>K108</f>
        <v>182600</v>
      </c>
      <c r="L107" s="112"/>
      <c r="M107" s="75">
        <f>M108</f>
        <v>152600</v>
      </c>
      <c r="N107" s="113"/>
      <c r="O107" s="75">
        <f>O108</f>
        <v>29832</v>
      </c>
      <c r="P107" s="113"/>
      <c r="Q107" s="75">
        <f>Q108</f>
        <v>29832</v>
      </c>
      <c r="R107" s="113"/>
      <c r="S107" s="75">
        <f>S108</f>
        <v>0</v>
      </c>
      <c r="T107" s="75">
        <f>T108</f>
        <v>0</v>
      </c>
      <c r="U107" s="56" t="str">
        <f t="shared" si="3"/>
        <v>-</v>
      </c>
    </row>
    <row r="108" spans="1:21" ht="31.5" customHeight="1" hidden="1">
      <c r="A108" s="9" t="s">
        <v>36</v>
      </c>
      <c r="B108" s="45" t="s">
        <v>114</v>
      </c>
      <c r="C108" s="45" t="s">
        <v>474</v>
      </c>
      <c r="D108" s="45" t="s">
        <v>478</v>
      </c>
      <c r="E108" s="45" t="s">
        <v>245</v>
      </c>
      <c r="F108" s="45" t="s">
        <v>59</v>
      </c>
      <c r="G108" s="75">
        <v>282600</v>
      </c>
      <c r="H108" s="112"/>
      <c r="I108" s="75">
        <f>G108+H108</f>
        <v>282600</v>
      </c>
      <c r="J108" s="112">
        <v>-100000</v>
      </c>
      <c r="K108" s="75">
        <f>I108+J108</f>
        <v>182600</v>
      </c>
      <c r="L108" s="112">
        <v>-30000</v>
      </c>
      <c r="M108" s="75">
        <f>K108+L108</f>
        <v>152600</v>
      </c>
      <c r="N108" s="113">
        <f>-16760-106008</f>
        <v>-122768</v>
      </c>
      <c r="O108" s="75">
        <f>M108+N108</f>
        <v>29832</v>
      </c>
      <c r="P108" s="113"/>
      <c r="Q108" s="75">
        <f>O108+P108</f>
        <v>29832</v>
      </c>
      <c r="R108" s="113">
        <v>-29832</v>
      </c>
      <c r="S108" s="75">
        <f>Q108+R108</f>
        <v>0</v>
      </c>
      <c r="T108" s="75">
        <v>0</v>
      </c>
      <c r="U108" s="56" t="str">
        <f t="shared" si="3"/>
        <v>-</v>
      </c>
    </row>
    <row r="109" spans="1:21" ht="20.25" customHeight="1">
      <c r="A109" s="9" t="s">
        <v>145</v>
      </c>
      <c r="B109" s="45">
        <v>901</v>
      </c>
      <c r="C109" s="45" t="s">
        <v>101</v>
      </c>
      <c r="D109" s="45"/>
      <c r="E109" s="45"/>
      <c r="F109" s="45"/>
      <c r="G109" s="76">
        <f>G110+G119+G150+G127+G145+G132</f>
        <v>23230610</v>
      </c>
      <c r="H109" s="112"/>
      <c r="I109" s="76">
        <f>I110+I119+I150+I127+I145+I132</f>
        <v>26015634.66</v>
      </c>
      <c r="J109" s="112"/>
      <c r="K109" s="76">
        <f>K110+K119+K150+K127+K145+K132</f>
        <v>26698074.13</v>
      </c>
      <c r="L109" s="112"/>
      <c r="M109" s="76">
        <f>M110+M119+M150+M127+M145+M132</f>
        <v>26492096.15</v>
      </c>
      <c r="N109" s="113"/>
      <c r="O109" s="76">
        <f>O110+O119+O150+O127+O145+O132</f>
        <v>26531771.17</v>
      </c>
      <c r="P109" s="113"/>
      <c r="Q109" s="76">
        <f>Q110+Q119+Q150+Q127+Q145+Q132</f>
        <v>30271305.29</v>
      </c>
      <c r="R109" s="113"/>
      <c r="S109" s="76">
        <f>S110+S119+S150+S127+S145+S132</f>
        <v>34886651.12</v>
      </c>
      <c r="T109" s="76">
        <f>T110+T119+T150+T127+T145+T132</f>
        <v>23402011.93</v>
      </c>
      <c r="U109" s="56">
        <f t="shared" si="3"/>
        <v>67.1</v>
      </c>
    </row>
    <row r="110" spans="1:21" ht="18.75" customHeight="1">
      <c r="A110" s="9" t="s">
        <v>146</v>
      </c>
      <c r="B110" s="45" t="s">
        <v>114</v>
      </c>
      <c r="C110" s="45" t="s">
        <v>102</v>
      </c>
      <c r="D110" s="45"/>
      <c r="E110" s="45"/>
      <c r="F110" s="45"/>
      <c r="G110" s="76">
        <f>G111+G115</f>
        <v>692600</v>
      </c>
      <c r="H110" s="112"/>
      <c r="I110" s="76">
        <f>I111+I115</f>
        <v>661100</v>
      </c>
      <c r="J110" s="112"/>
      <c r="K110" s="76">
        <f>K111+K115</f>
        <v>661100</v>
      </c>
      <c r="L110" s="112"/>
      <c r="M110" s="76">
        <f>M111+M115</f>
        <v>661100</v>
      </c>
      <c r="N110" s="113"/>
      <c r="O110" s="76">
        <f>O111+O115</f>
        <v>661100</v>
      </c>
      <c r="P110" s="113"/>
      <c r="Q110" s="76">
        <f>Q111+Q115</f>
        <v>661100</v>
      </c>
      <c r="R110" s="113"/>
      <c r="S110" s="76">
        <f>S111+S115</f>
        <v>661100</v>
      </c>
      <c r="T110" s="76">
        <f>T111+T115</f>
        <v>452830.75</v>
      </c>
      <c r="U110" s="56">
        <f t="shared" si="3"/>
        <v>68.5</v>
      </c>
    </row>
    <row r="111" spans="1:21" ht="133.5" customHeight="1">
      <c r="A111" s="9" t="s">
        <v>488</v>
      </c>
      <c r="B111" s="45" t="s">
        <v>114</v>
      </c>
      <c r="C111" s="45" t="s">
        <v>102</v>
      </c>
      <c r="D111" s="45" t="s">
        <v>487</v>
      </c>
      <c r="E111" s="45" t="s">
        <v>372</v>
      </c>
      <c r="F111" s="45"/>
      <c r="G111" s="76">
        <f>G112</f>
        <v>76500</v>
      </c>
      <c r="H111" s="112"/>
      <c r="I111" s="76">
        <f>I112</f>
        <v>45000</v>
      </c>
      <c r="J111" s="112"/>
      <c r="K111" s="76">
        <f>K112</f>
        <v>45000</v>
      </c>
      <c r="L111" s="112"/>
      <c r="M111" s="76">
        <f>M112</f>
        <v>45000</v>
      </c>
      <c r="N111" s="113"/>
      <c r="O111" s="76">
        <f>O112</f>
        <v>45000</v>
      </c>
      <c r="P111" s="113"/>
      <c r="Q111" s="76">
        <f>Q112</f>
        <v>45000</v>
      </c>
      <c r="R111" s="113"/>
      <c r="S111" s="76">
        <f aca="true" t="shared" si="5" ref="S111:T113">S112</f>
        <v>45000</v>
      </c>
      <c r="T111" s="76">
        <f t="shared" si="5"/>
        <v>45000</v>
      </c>
      <c r="U111" s="56">
        <f t="shared" si="3"/>
        <v>100</v>
      </c>
    </row>
    <row r="112" spans="1:21" ht="96.75" customHeight="1">
      <c r="A112" s="34" t="s">
        <v>597</v>
      </c>
      <c r="B112" s="45" t="s">
        <v>114</v>
      </c>
      <c r="C112" s="45" t="s">
        <v>102</v>
      </c>
      <c r="D112" s="45" t="s">
        <v>489</v>
      </c>
      <c r="E112" s="45" t="s">
        <v>440</v>
      </c>
      <c r="F112" s="45"/>
      <c r="G112" s="76">
        <f>G113</f>
        <v>76500</v>
      </c>
      <c r="H112" s="112"/>
      <c r="I112" s="76">
        <f>I113</f>
        <v>45000</v>
      </c>
      <c r="J112" s="112"/>
      <c r="K112" s="76">
        <f>K113</f>
        <v>45000</v>
      </c>
      <c r="L112" s="112"/>
      <c r="M112" s="76">
        <f>M113</f>
        <v>45000</v>
      </c>
      <c r="N112" s="113"/>
      <c r="O112" s="76">
        <f>O113</f>
        <v>45000</v>
      </c>
      <c r="P112" s="113"/>
      <c r="Q112" s="76">
        <f>Q113</f>
        <v>45000</v>
      </c>
      <c r="R112" s="113"/>
      <c r="S112" s="76">
        <f t="shared" si="5"/>
        <v>45000</v>
      </c>
      <c r="T112" s="76">
        <f t="shared" si="5"/>
        <v>45000</v>
      </c>
      <c r="U112" s="56">
        <f t="shared" si="3"/>
        <v>100</v>
      </c>
    </row>
    <row r="113" spans="1:21" ht="33.75" customHeight="1">
      <c r="A113" s="37" t="s">
        <v>598</v>
      </c>
      <c r="B113" s="45" t="s">
        <v>114</v>
      </c>
      <c r="C113" s="45" t="s">
        <v>102</v>
      </c>
      <c r="D113" s="45" t="s">
        <v>646</v>
      </c>
      <c r="E113" s="45" t="s">
        <v>441</v>
      </c>
      <c r="F113" s="45"/>
      <c r="G113" s="56">
        <f>G114</f>
        <v>76500</v>
      </c>
      <c r="H113" s="112"/>
      <c r="I113" s="56">
        <f>I114</f>
        <v>45000</v>
      </c>
      <c r="J113" s="112"/>
      <c r="K113" s="76">
        <f>K114</f>
        <v>45000</v>
      </c>
      <c r="L113" s="112"/>
      <c r="M113" s="76">
        <f>M114</f>
        <v>45000</v>
      </c>
      <c r="N113" s="113"/>
      <c r="O113" s="76">
        <f>O114</f>
        <v>45000</v>
      </c>
      <c r="P113" s="113"/>
      <c r="Q113" s="76">
        <f>Q114</f>
        <v>45000</v>
      </c>
      <c r="R113" s="113"/>
      <c r="S113" s="76">
        <f t="shared" si="5"/>
        <v>45000</v>
      </c>
      <c r="T113" s="76">
        <f t="shared" si="5"/>
        <v>45000</v>
      </c>
      <c r="U113" s="56">
        <f t="shared" si="3"/>
        <v>100</v>
      </c>
    </row>
    <row r="114" spans="1:21" ht="17.25" customHeight="1">
      <c r="A114" s="9" t="s">
        <v>213</v>
      </c>
      <c r="B114" s="45" t="s">
        <v>114</v>
      </c>
      <c r="C114" s="45" t="s">
        <v>102</v>
      </c>
      <c r="D114" s="45" t="s">
        <v>646</v>
      </c>
      <c r="E114" s="45" t="s">
        <v>441</v>
      </c>
      <c r="F114" s="45" t="s">
        <v>211</v>
      </c>
      <c r="G114" s="74">
        <v>76500</v>
      </c>
      <c r="H114" s="112">
        <v>-31500</v>
      </c>
      <c r="I114" s="74">
        <f>G114+H114</f>
        <v>45000</v>
      </c>
      <c r="J114" s="112"/>
      <c r="K114" s="74">
        <f>I114+J114</f>
        <v>45000</v>
      </c>
      <c r="L114" s="112"/>
      <c r="M114" s="74">
        <f>K114+L114</f>
        <v>45000</v>
      </c>
      <c r="N114" s="113"/>
      <c r="O114" s="74">
        <f>M114+N114</f>
        <v>45000</v>
      </c>
      <c r="P114" s="113"/>
      <c r="Q114" s="74">
        <f>O114+P114</f>
        <v>45000</v>
      </c>
      <c r="R114" s="113"/>
      <c r="S114" s="74">
        <f>Q114+R114</f>
        <v>45000</v>
      </c>
      <c r="T114" s="74">
        <f>R114+S114</f>
        <v>45000</v>
      </c>
      <c r="U114" s="56">
        <f t="shared" si="3"/>
        <v>100</v>
      </c>
    </row>
    <row r="115" spans="1:21" ht="67.5" customHeight="1">
      <c r="A115" s="86" t="s">
        <v>346</v>
      </c>
      <c r="B115" s="49" t="s">
        <v>114</v>
      </c>
      <c r="C115" s="49" t="s">
        <v>102</v>
      </c>
      <c r="D115" s="49" t="s">
        <v>170</v>
      </c>
      <c r="E115" s="45" t="s">
        <v>444</v>
      </c>
      <c r="F115" s="45"/>
      <c r="G115" s="74">
        <f>G116</f>
        <v>616100</v>
      </c>
      <c r="H115" s="112"/>
      <c r="I115" s="74">
        <f>I116</f>
        <v>616100</v>
      </c>
      <c r="J115" s="112"/>
      <c r="K115" s="74">
        <f>K116</f>
        <v>616100</v>
      </c>
      <c r="L115" s="112"/>
      <c r="M115" s="74">
        <f>M116</f>
        <v>616100</v>
      </c>
      <c r="N115" s="113"/>
      <c r="O115" s="74">
        <f>O116</f>
        <v>616100</v>
      </c>
      <c r="P115" s="113"/>
      <c r="Q115" s="74">
        <f>Q116</f>
        <v>616100</v>
      </c>
      <c r="R115" s="113"/>
      <c r="S115" s="74">
        <f aca="true" t="shared" si="6" ref="S115:T117">S116</f>
        <v>616100</v>
      </c>
      <c r="T115" s="74">
        <f t="shared" si="6"/>
        <v>407830.75</v>
      </c>
      <c r="U115" s="56">
        <f t="shared" si="3"/>
        <v>66.2</v>
      </c>
    </row>
    <row r="116" spans="1:21" ht="78" customHeight="1">
      <c r="A116" s="9" t="s">
        <v>442</v>
      </c>
      <c r="B116" s="49" t="s">
        <v>114</v>
      </c>
      <c r="C116" s="49" t="s">
        <v>102</v>
      </c>
      <c r="D116" s="49" t="s">
        <v>465</v>
      </c>
      <c r="E116" s="45" t="s">
        <v>445</v>
      </c>
      <c r="F116" s="45"/>
      <c r="G116" s="74">
        <f>G117</f>
        <v>616100</v>
      </c>
      <c r="H116" s="112"/>
      <c r="I116" s="74">
        <f>I117</f>
        <v>616100</v>
      </c>
      <c r="J116" s="112"/>
      <c r="K116" s="74">
        <f>K117</f>
        <v>616100</v>
      </c>
      <c r="L116" s="112"/>
      <c r="M116" s="74">
        <f>M117</f>
        <v>616100</v>
      </c>
      <c r="N116" s="113"/>
      <c r="O116" s="74">
        <f>O117</f>
        <v>616100</v>
      </c>
      <c r="P116" s="113"/>
      <c r="Q116" s="74">
        <f>Q117</f>
        <v>616100</v>
      </c>
      <c r="R116" s="113"/>
      <c r="S116" s="74">
        <f t="shared" si="6"/>
        <v>616100</v>
      </c>
      <c r="T116" s="74">
        <f t="shared" si="6"/>
        <v>407830.75</v>
      </c>
      <c r="U116" s="56">
        <f t="shared" si="3"/>
        <v>66.2</v>
      </c>
    </row>
    <row r="117" spans="1:21" ht="80.25" customHeight="1">
      <c r="A117" s="9" t="s">
        <v>443</v>
      </c>
      <c r="B117" s="45" t="s">
        <v>114</v>
      </c>
      <c r="C117" s="45" t="s">
        <v>102</v>
      </c>
      <c r="D117" s="45" t="s">
        <v>168</v>
      </c>
      <c r="E117" s="45" t="s">
        <v>446</v>
      </c>
      <c r="F117" s="45"/>
      <c r="G117" s="74">
        <f>G118</f>
        <v>616100</v>
      </c>
      <c r="H117" s="112"/>
      <c r="I117" s="74">
        <f>I118</f>
        <v>616100</v>
      </c>
      <c r="J117" s="112"/>
      <c r="K117" s="74">
        <f>K118</f>
        <v>616100</v>
      </c>
      <c r="L117" s="112"/>
      <c r="M117" s="74">
        <f>M118</f>
        <v>616100</v>
      </c>
      <c r="N117" s="113"/>
      <c r="O117" s="74">
        <f>O118</f>
        <v>616100</v>
      </c>
      <c r="P117" s="113"/>
      <c r="Q117" s="74">
        <f>Q118</f>
        <v>616100</v>
      </c>
      <c r="R117" s="113"/>
      <c r="S117" s="74">
        <f t="shared" si="6"/>
        <v>616100</v>
      </c>
      <c r="T117" s="74">
        <f t="shared" si="6"/>
        <v>407830.75</v>
      </c>
      <c r="U117" s="56">
        <f t="shared" si="3"/>
        <v>66.2</v>
      </c>
    </row>
    <row r="118" spans="1:21" ht="30.75" customHeight="1">
      <c r="A118" s="9" t="s">
        <v>68</v>
      </c>
      <c r="B118" s="45" t="s">
        <v>114</v>
      </c>
      <c r="C118" s="45" t="s">
        <v>102</v>
      </c>
      <c r="D118" s="45" t="s">
        <v>168</v>
      </c>
      <c r="E118" s="87" t="s">
        <v>446</v>
      </c>
      <c r="F118" s="45" t="s">
        <v>59</v>
      </c>
      <c r="G118" s="74">
        <v>616100</v>
      </c>
      <c r="H118" s="112"/>
      <c r="I118" s="74">
        <f>G118+H118</f>
        <v>616100</v>
      </c>
      <c r="J118" s="112"/>
      <c r="K118" s="74">
        <f>I118+J118</f>
        <v>616100</v>
      </c>
      <c r="L118" s="112"/>
      <c r="M118" s="74">
        <f>K118+L118</f>
        <v>616100</v>
      </c>
      <c r="N118" s="113"/>
      <c r="O118" s="74">
        <f>M118+N118</f>
        <v>616100</v>
      </c>
      <c r="P118" s="113"/>
      <c r="Q118" s="74">
        <f>O118+P118</f>
        <v>616100</v>
      </c>
      <c r="R118" s="113"/>
      <c r="S118" s="74">
        <f>Q118+R118</f>
        <v>616100</v>
      </c>
      <c r="T118" s="74">
        <v>407830.75</v>
      </c>
      <c r="U118" s="56">
        <f t="shared" si="3"/>
        <v>66.2</v>
      </c>
    </row>
    <row r="119" spans="1:21" ht="15" customHeight="1">
      <c r="A119" s="9" t="s">
        <v>226</v>
      </c>
      <c r="B119" s="45" t="s">
        <v>114</v>
      </c>
      <c r="C119" s="45" t="s">
        <v>103</v>
      </c>
      <c r="D119" s="45"/>
      <c r="E119" s="45"/>
      <c r="F119" s="45"/>
      <c r="G119" s="56">
        <f>G120</f>
        <v>3130270</v>
      </c>
      <c r="H119" s="112"/>
      <c r="I119" s="56">
        <f>I120</f>
        <v>3170895</v>
      </c>
      <c r="J119" s="112"/>
      <c r="K119" s="76">
        <f>K120</f>
        <v>3170895</v>
      </c>
      <c r="L119" s="112"/>
      <c r="M119" s="76">
        <f>M120</f>
        <v>3222645.08</v>
      </c>
      <c r="N119" s="113"/>
      <c r="O119" s="76">
        <f>O120</f>
        <v>3225689.08</v>
      </c>
      <c r="P119" s="113"/>
      <c r="Q119" s="76">
        <f>Q120</f>
        <v>3018665.08</v>
      </c>
      <c r="R119" s="113"/>
      <c r="S119" s="76">
        <f>S120</f>
        <v>3018592.08</v>
      </c>
      <c r="T119" s="76">
        <f>T120</f>
        <v>3018569.9</v>
      </c>
      <c r="U119" s="56">
        <f t="shared" si="3"/>
        <v>100</v>
      </c>
    </row>
    <row r="120" spans="1:21" ht="68.25" customHeight="1">
      <c r="A120" s="42" t="s">
        <v>346</v>
      </c>
      <c r="B120" s="45" t="s">
        <v>114</v>
      </c>
      <c r="C120" s="45" t="s">
        <v>103</v>
      </c>
      <c r="D120" s="45" t="s">
        <v>170</v>
      </c>
      <c r="E120" s="45" t="s">
        <v>444</v>
      </c>
      <c r="F120" s="45"/>
      <c r="G120" s="56">
        <f>G121+G124</f>
        <v>3130270</v>
      </c>
      <c r="H120" s="112"/>
      <c r="I120" s="56">
        <f>I121+I124</f>
        <v>3170895</v>
      </c>
      <c r="J120" s="112"/>
      <c r="K120" s="76">
        <f>K121+K124</f>
        <v>3170895</v>
      </c>
      <c r="L120" s="112"/>
      <c r="M120" s="76">
        <f>M121+M124</f>
        <v>3222645.08</v>
      </c>
      <c r="N120" s="113"/>
      <c r="O120" s="76">
        <f>O121+O124</f>
        <v>3225689.08</v>
      </c>
      <c r="P120" s="113"/>
      <c r="Q120" s="76">
        <f>Q121+Q124</f>
        <v>3018665.08</v>
      </c>
      <c r="R120" s="113"/>
      <c r="S120" s="76">
        <f>S121+S124</f>
        <v>3018592.08</v>
      </c>
      <c r="T120" s="76">
        <f>T121+T124</f>
        <v>3018569.9</v>
      </c>
      <c r="U120" s="56">
        <f t="shared" si="3"/>
        <v>100</v>
      </c>
    </row>
    <row r="121" spans="1:21" ht="47.25" customHeight="1">
      <c r="A121" s="9" t="s">
        <v>483</v>
      </c>
      <c r="B121" s="45" t="s">
        <v>114</v>
      </c>
      <c r="C121" s="45" t="s">
        <v>103</v>
      </c>
      <c r="D121" s="45" t="s">
        <v>341</v>
      </c>
      <c r="E121" s="45" t="s">
        <v>447</v>
      </c>
      <c r="F121" s="45"/>
      <c r="G121" s="56">
        <f>G122</f>
        <v>170000</v>
      </c>
      <c r="H121" s="112"/>
      <c r="I121" s="56">
        <f>I122</f>
        <v>223200</v>
      </c>
      <c r="J121" s="112"/>
      <c r="K121" s="76">
        <f>K122</f>
        <v>223200</v>
      </c>
      <c r="L121" s="112"/>
      <c r="M121" s="76">
        <f>M122</f>
        <v>223200</v>
      </c>
      <c r="N121" s="113"/>
      <c r="O121" s="76">
        <f>O122</f>
        <v>223200</v>
      </c>
      <c r="P121" s="113"/>
      <c r="Q121" s="76">
        <f>Q122</f>
        <v>223200</v>
      </c>
      <c r="R121" s="113"/>
      <c r="S121" s="76">
        <f>S122</f>
        <v>223200</v>
      </c>
      <c r="T121" s="76">
        <f>T122</f>
        <v>223200</v>
      </c>
      <c r="U121" s="56">
        <f t="shared" si="3"/>
        <v>100</v>
      </c>
    </row>
    <row r="122" spans="1:21" ht="39" customHeight="1">
      <c r="A122" s="9" t="s">
        <v>342</v>
      </c>
      <c r="B122" s="45" t="s">
        <v>114</v>
      </c>
      <c r="C122" s="45" t="s">
        <v>103</v>
      </c>
      <c r="D122" s="45" t="s">
        <v>484</v>
      </c>
      <c r="E122" s="45" t="s">
        <v>448</v>
      </c>
      <c r="F122" s="45"/>
      <c r="G122" s="56">
        <f>G123</f>
        <v>170000</v>
      </c>
      <c r="H122" s="112"/>
      <c r="I122" s="56">
        <f>I123</f>
        <v>223200</v>
      </c>
      <c r="J122" s="112"/>
      <c r="K122" s="76">
        <f>K123</f>
        <v>223200</v>
      </c>
      <c r="L122" s="112"/>
      <c r="M122" s="76">
        <f>M123</f>
        <v>223200</v>
      </c>
      <c r="N122" s="113"/>
      <c r="O122" s="76">
        <f>O123</f>
        <v>223200</v>
      </c>
      <c r="P122" s="113"/>
      <c r="Q122" s="76">
        <f>Q123</f>
        <v>223200</v>
      </c>
      <c r="R122" s="113"/>
      <c r="S122" s="76">
        <f>S123</f>
        <v>223200</v>
      </c>
      <c r="T122" s="76">
        <f>T123</f>
        <v>223200</v>
      </c>
      <c r="U122" s="56">
        <f t="shared" si="3"/>
        <v>100</v>
      </c>
    </row>
    <row r="123" spans="1:21" ht="34.5" customHeight="1">
      <c r="A123" s="9" t="s">
        <v>68</v>
      </c>
      <c r="B123" s="45" t="s">
        <v>114</v>
      </c>
      <c r="C123" s="45" t="s">
        <v>103</v>
      </c>
      <c r="D123" s="45" t="s">
        <v>484</v>
      </c>
      <c r="E123" s="45" t="s">
        <v>448</v>
      </c>
      <c r="F123" s="45" t="s">
        <v>59</v>
      </c>
      <c r="G123" s="74">
        <v>170000</v>
      </c>
      <c r="H123" s="112">
        <v>53200</v>
      </c>
      <c r="I123" s="74">
        <f>G123+H123</f>
        <v>223200</v>
      </c>
      <c r="J123" s="112"/>
      <c r="K123" s="74">
        <f>I123+J123</f>
        <v>223200</v>
      </c>
      <c r="L123" s="112"/>
      <c r="M123" s="74">
        <f>K123+L123</f>
        <v>223200</v>
      </c>
      <c r="N123" s="113"/>
      <c r="O123" s="74">
        <f>M123+N123</f>
        <v>223200</v>
      </c>
      <c r="P123" s="113"/>
      <c r="Q123" s="74">
        <f>O123+P123</f>
        <v>223200</v>
      </c>
      <c r="R123" s="113"/>
      <c r="S123" s="74">
        <f>Q123+R123</f>
        <v>223200</v>
      </c>
      <c r="T123" s="74">
        <f>R123+S123</f>
        <v>223200</v>
      </c>
      <c r="U123" s="56">
        <f t="shared" si="3"/>
        <v>100</v>
      </c>
    </row>
    <row r="124" spans="1:21" ht="61.5" customHeight="1">
      <c r="A124" s="13" t="s">
        <v>480</v>
      </c>
      <c r="B124" s="45" t="s">
        <v>114</v>
      </c>
      <c r="C124" s="45" t="s">
        <v>103</v>
      </c>
      <c r="D124" s="45" t="s">
        <v>479</v>
      </c>
      <c r="E124" s="45" t="s">
        <v>449</v>
      </c>
      <c r="F124" s="45"/>
      <c r="G124" s="60">
        <f>G125</f>
        <v>2960270</v>
      </c>
      <c r="H124" s="112"/>
      <c r="I124" s="60">
        <f>I125</f>
        <v>2947695</v>
      </c>
      <c r="J124" s="112"/>
      <c r="K124" s="74">
        <f>K125</f>
        <v>2947695</v>
      </c>
      <c r="L124" s="112"/>
      <c r="M124" s="74">
        <f>M125</f>
        <v>2999445.08</v>
      </c>
      <c r="N124" s="113"/>
      <c r="O124" s="74">
        <f>O125</f>
        <v>3002489.08</v>
      </c>
      <c r="P124" s="113"/>
      <c r="Q124" s="74">
        <f>Q125</f>
        <v>2795465.08</v>
      </c>
      <c r="R124" s="113"/>
      <c r="S124" s="74">
        <f>S125</f>
        <v>2795392.08</v>
      </c>
      <c r="T124" s="74">
        <f>T125</f>
        <v>2795369.9</v>
      </c>
      <c r="U124" s="56">
        <f t="shared" si="3"/>
        <v>100</v>
      </c>
    </row>
    <row r="125" spans="1:21" ht="32.25" customHeight="1">
      <c r="A125" s="13" t="s">
        <v>481</v>
      </c>
      <c r="B125" s="45" t="s">
        <v>114</v>
      </c>
      <c r="C125" s="45" t="s">
        <v>103</v>
      </c>
      <c r="D125" s="45" t="s">
        <v>482</v>
      </c>
      <c r="E125" s="45" t="s">
        <v>450</v>
      </c>
      <c r="F125" s="45"/>
      <c r="G125" s="60">
        <f>G126</f>
        <v>2960270</v>
      </c>
      <c r="H125" s="112"/>
      <c r="I125" s="60">
        <f>I126</f>
        <v>2947695</v>
      </c>
      <c r="J125" s="112"/>
      <c r="K125" s="74">
        <f>K126</f>
        <v>2947695</v>
      </c>
      <c r="L125" s="112"/>
      <c r="M125" s="74">
        <f>M126</f>
        <v>2999445.08</v>
      </c>
      <c r="N125" s="113"/>
      <c r="O125" s="74">
        <f>O126</f>
        <v>3002489.08</v>
      </c>
      <c r="P125" s="113"/>
      <c r="Q125" s="74">
        <f>Q126</f>
        <v>2795465.08</v>
      </c>
      <c r="R125" s="113"/>
      <c r="S125" s="74">
        <f>S126</f>
        <v>2795392.08</v>
      </c>
      <c r="T125" s="74">
        <f>T126</f>
        <v>2795369.9</v>
      </c>
      <c r="U125" s="56">
        <f t="shared" si="3"/>
        <v>100</v>
      </c>
    </row>
    <row r="126" spans="1:21" ht="36.75" customHeight="1">
      <c r="A126" s="9" t="s">
        <v>68</v>
      </c>
      <c r="B126" s="45" t="s">
        <v>114</v>
      </c>
      <c r="C126" s="45" t="s">
        <v>103</v>
      </c>
      <c r="D126" s="45" t="s">
        <v>482</v>
      </c>
      <c r="E126" s="45" t="s">
        <v>450</v>
      </c>
      <c r="F126" s="45" t="s">
        <v>59</v>
      </c>
      <c r="G126" s="74">
        <v>2960270</v>
      </c>
      <c r="H126" s="112">
        <v>-12575</v>
      </c>
      <c r="I126" s="74">
        <f>G126+H126</f>
        <v>2947695</v>
      </c>
      <c r="J126" s="112"/>
      <c r="K126" s="74">
        <f>I126+J126</f>
        <v>2947695</v>
      </c>
      <c r="L126" s="112">
        <v>51750.08</v>
      </c>
      <c r="M126" s="74">
        <f>K126+L126</f>
        <v>2999445.08</v>
      </c>
      <c r="N126" s="113">
        <v>3044</v>
      </c>
      <c r="O126" s="74">
        <f>M126+N126</f>
        <v>3002489.08</v>
      </c>
      <c r="P126" s="113">
        <v>-207024</v>
      </c>
      <c r="Q126" s="74">
        <f>O126+P126</f>
        <v>2795465.08</v>
      </c>
      <c r="R126" s="113">
        <v>-73</v>
      </c>
      <c r="S126" s="74">
        <f>Q126+R126</f>
        <v>2795392.08</v>
      </c>
      <c r="T126" s="74">
        <v>2795369.9</v>
      </c>
      <c r="U126" s="56">
        <f t="shared" si="3"/>
        <v>100</v>
      </c>
    </row>
    <row r="127" spans="1:21" ht="20.25" customHeight="1">
      <c r="A127" s="9" t="s">
        <v>120</v>
      </c>
      <c r="B127" s="45" t="s">
        <v>114</v>
      </c>
      <c r="C127" s="45" t="s">
        <v>121</v>
      </c>
      <c r="D127" s="45"/>
      <c r="E127" s="45"/>
      <c r="F127" s="45"/>
      <c r="G127" s="56">
        <f>G128</f>
        <v>360000</v>
      </c>
      <c r="H127" s="112"/>
      <c r="I127" s="56">
        <f>I128</f>
        <v>360000</v>
      </c>
      <c r="J127" s="112"/>
      <c r="K127" s="76">
        <f>K128</f>
        <v>360000</v>
      </c>
      <c r="L127" s="112"/>
      <c r="M127" s="76">
        <f>M128</f>
        <v>360000</v>
      </c>
      <c r="N127" s="113"/>
      <c r="O127" s="76">
        <f>O128</f>
        <v>360000</v>
      </c>
      <c r="P127" s="113"/>
      <c r="Q127" s="76">
        <f>Q128</f>
        <v>360000</v>
      </c>
      <c r="R127" s="113"/>
      <c r="S127" s="76">
        <f aca="true" t="shared" si="7" ref="S127:T130">S128</f>
        <v>303194</v>
      </c>
      <c r="T127" s="76">
        <f t="shared" si="7"/>
        <v>303194</v>
      </c>
      <c r="U127" s="56">
        <f t="shared" si="3"/>
        <v>100</v>
      </c>
    </row>
    <row r="128" spans="1:21" ht="95.25" customHeight="1">
      <c r="A128" s="20" t="s">
        <v>231</v>
      </c>
      <c r="B128" s="45" t="s">
        <v>114</v>
      </c>
      <c r="C128" s="45" t="s">
        <v>121</v>
      </c>
      <c r="D128" s="45" t="s">
        <v>94</v>
      </c>
      <c r="E128" s="45" t="s">
        <v>368</v>
      </c>
      <c r="F128" s="45"/>
      <c r="G128" s="56">
        <f>G129</f>
        <v>360000</v>
      </c>
      <c r="H128" s="112"/>
      <c r="I128" s="56">
        <f>I129</f>
        <v>360000</v>
      </c>
      <c r="J128" s="112"/>
      <c r="K128" s="76">
        <f>K129</f>
        <v>360000</v>
      </c>
      <c r="L128" s="112"/>
      <c r="M128" s="76">
        <f>M129</f>
        <v>360000</v>
      </c>
      <c r="N128" s="113"/>
      <c r="O128" s="76">
        <f>O129</f>
        <v>360000</v>
      </c>
      <c r="P128" s="113"/>
      <c r="Q128" s="76">
        <f>Q129</f>
        <v>360000</v>
      </c>
      <c r="R128" s="113"/>
      <c r="S128" s="76">
        <f t="shared" si="7"/>
        <v>303194</v>
      </c>
      <c r="T128" s="76">
        <f t="shared" si="7"/>
        <v>303194</v>
      </c>
      <c r="U128" s="56">
        <f t="shared" si="3"/>
        <v>100</v>
      </c>
    </row>
    <row r="129" spans="1:21" ht="48.75" customHeight="1">
      <c r="A129" s="20" t="s">
        <v>677</v>
      </c>
      <c r="B129" s="45" t="s">
        <v>114</v>
      </c>
      <c r="C129" s="45" t="s">
        <v>121</v>
      </c>
      <c r="D129" s="45" t="s">
        <v>492</v>
      </c>
      <c r="E129" s="45" t="s">
        <v>451</v>
      </c>
      <c r="F129" s="45"/>
      <c r="G129" s="56">
        <f>G130</f>
        <v>360000</v>
      </c>
      <c r="H129" s="112"/>
      <c r="I129" s="56">
        <f>I130</f>
        <v>360000</v>
      </c>
      <c r="J129" s="112"/>
      <c r="K129" s="76">
        <f>K130</f>
        <v>360000</v>
      </c>
      <c r="L129" s="112"/>
      <c r="M129" s="76">
        <f>M130</f>
        <v>360000</v>
      </c>
      <c r="N129" s="113"/>
      <c r="O129" s="76">
        <f>O130</f>
        <v>360000</v>
      </c>
      <c r="P129" s="113"/>
      <c r="Q129" s="76">
        <f>Q130</f>
        <v>360000</v>
      </c>
      <c r="R129" s="113"/>
      <c r="S129" s="76">
        <f t="shared" si="7"/>
        <v>303194</v>
      </c>
      <c r="T129" s="76">
        <f t="shared" si="7"/>
        <v>303194</v>
      </c>
      <c r="U129" s="56">
        <f t="shared" si="3"/>
        <v>100</v>
      </c>
    </row>
    <row r="130" spans="1:21" ht="34.5" customHeight="1">
      <c r="A130" s="20" t="s">
        <v>490</v>
      </c>
      <c r="B130" s="45" t="s">
        <v>114</v>
      </c>
      <c r="C130" s="45" t="s">
        <v>121</v>
      </c>
      <c r="D130" s="45" t="s">
        <v>491</v>
      </c>
      <c r="E130" s="45" t="s">
        <v>452</v>
      </c>
      <c r="F130" s="45"/>
      <c r="G130" s="56">
        <f>G131</f>
        <v>360000</v>
      </c>
      <c r="H130" s="112"/>
      <c r="I130" s="56">
        <f>I131</f>
        <v>360000</v>
      </c>
      <c r="J130" s="112"/>
      <c r="K130" s="76">
        <f>K131</f>
        <v>360000</v>
      </c>
      <c r="L130" s="112"/>
      <c r="M130" s="76">
        <f>M131</f>
        <v>360000</v>
      </c>
      <c r="N130" s="113"/>
      <c r="O130" s="76">
        <f>O131</f>
        <v>360000</v>
      </c>
      <c r="P130" s="113"/>
      <c r="Q130" s="76">
        <f>Q131</f>
        <v>360000</v>
      </c>
      <c r="R130" s="113"/>
      <c r="S130" s="76">
        <f t="shared" si="7"/>
        <v>303194</v>
      </c>
      <c r="T130" s="76">
        <f t="shared" si="7"/>
        <v>303194</v>
      </c>
      <c r="U130" s="56">
        <f t="shared" si="3"/>
        <v>100</v>
      </c>
    </row>
    <row r="131" spans="1:21" ht="81.75" customHeight="1">
      <c r="A131" s="37" t="s">
        <v>75</v>
      </c>
      <c r="B131" s="45" t="s">
        <v>114</v>
      </c>
      <c r="C131" s="45" t="s">
        <v>121</v>
      </c>
      <c r="D131" s="45" t="s">
        <v>491</v>
      </c>
      <c r="E131" s="45" t="s">
        <v>452</v>
      </c>
      <c r="F131" s="45" t="s">
        <v>216</v>
      </c>
      <c r="G131" s="74">
        <v>360000</v>
      </c>
      <c r="H131" s="112"/>
      <c r="I131" s="74">
        <f>G131+H131</f>
        <v>360000</v>
      </c>
      <c r="J131" s="112"/>
      <c r="K131" s="74">
        <f>I131+J131</f>
        <v>360000</v>
      </c>
      <c r="L131" s="112"/>
      <c r="M131" s="74">
        <f>K131+L131</f>
        <v>360000</v>
      </c>
      <c r="N131" s="113"/>
      <c r="O131" s="74">
        <f>M131+N131</f>
        <v>360000</v>
      </c>
      <c r="P131" s="113"/>
      <c r="Q131" s="74">
        <f>O131+P131</f>
        <v>360000</v>
      </c>
      <c r="R131" s="113">
        <v>-56806</v>
      </c>
      <c r="S131" s="74">
        <f>Q131+R131</f>
        <v>303194</v>
      </c>
      <c r="T131" s="74">
        <v>303194</v>
      </c>
      <c r="U131" s="56">
        <f t="shared" si="3"/>
        <v>100</v>
      </c>
    </row>
    <row r="132" spans="1:21" ht="21" customHeight="1">
      <c r="A132" s="14" t="s">
        <v>223</v>
      </c>
      <c r="B132" s="45" t="s">
        <v>114</v>
      </c>
      <c r="C132" s="45" t="s">
        <v>224</v>
      </c>
      <c r="D132" s="45"/>
      <c r="E132" s="45"/>
      <c r="F132" s="45"/>
      <c r="G132" s="60">
        <f>G133</f>
        <v>16179000</v>
      </c>
      <c r="H132" s="112"/>
      <c r="I132" s="60">
        <f>I133</f>
        <v>18641000.66</v>
      </c>
      <c r="J132" s="112"/>
      <c r="K132" s="74">
        <f>K133</f>
        <v>18641000.66</v>
      </c>
      <c r="L132" s="112"/>
      <c r="M132" s="74">
        <f>M133</f>
        <v>18641000.66</v>
      </c>
      <c r="N132" s="113"/>
      <c r="O132" s="74">
        <f>O133</f>
        <v>18641000.66</v>
      </c>
      <c r="P132" s="113"/>
      <c r="Q132" s="74">
        <f>Q133</f>
        <v>22893848.66</v>
      </c>
      <c r="R132" s="113"/>
      <c r="S132" s="74">
        <f>S133</f>
        <v>27515202.66</v>
      </c>
      <c r="T132" s="74">
        <f>T133</f>
        <v>17808696.7</v>
      </c>
      <c r="U132" s="56">
        <f t="shared" si="3"/>
        <v>64.7</v>
      </c>
    </row>
    <row r="133" spans="1:21" ht="93.75" customHeight="1">
      <c r="A133" s="20" t="s">
        <v>231</v>
      </c>
      <c r="B133" s="45" t="s">
        <v>114</v>
      </c>
      <c r="C133" s="45" t="s">
        <v>224</v>
      </c>
      <c r="D133" s="45" t="s">
        <v>94</v>
      </c>
      <c r="E133" s="45" t="s">
        <v>368</v>
      </c>
      <c r="F133" s="45"/>
      <c r="G133" s="60">
        <f>G134</f>
        <v>16179000</v>
      </c>
      <c r="H133" s="112"/>
      <c r="I133" s="60">
        <f>I134</f>
        <v>18641000.66</v>
      </c>
      <c r="J133" s="112"/>
      <c r="K133" s="74">
        <f>K134</f>
        <v>18641000.66</v>
      </c>
      <c r="L133" s="112"/>
      <c r="M133" s="74">
        <f>M134</f>
        <v>18641000.66</v>
      </c>
      <c r="N133" s="113"/>
      <c r="O133" s="74">
        <f>O134</f>
        <v>18641000.66</v>
      </c>
      <c r="P133" s="113"/>
      <c r="Q133" s="74">
        <f>Q134</f>
        <v>22893848.66</v>
      </c>
      <c r="R133" s="113"/>
      <c r="S133" s="74">
        <f>S134</f>
        <v>27515202.66</v>
      </c>
      <c r="T133" s="74">
        <f>T134</f>
        <v>17808696.7</v>
      </c>
      <c r="U133" s="56">
        <f t="shared" si="3"/>
        <v>64.7</v>
      </c>
    </row>
    <row r="134" spans="1:21" ht="64.5" customHeight="1">
      <c r="A134" s="20" t="s">
        <v>665</v>
      </c>
      <c r="B134" s="45" t="s">
        <v>114</v>
      </c>
      <c r="C134" s="45" t="s">
        <v>224</v>
      </c>
      <c r="D134" s="45" t="s">
        <v>493</v>
      </c>
      <c r="E134" s="45" t="s">
        <v>246</v>
      </c>
      <c r="F134" s="45"/>
      <c r="G134" s="60">
        <f>G135+G137+G139+G143+G141</f>
        <v>16179000</v>
      </c>
      <c r="H134" s="112"/>
      <c r="I134" s="60">
        <f>I135+I137+I139+I143+I141</f>
        <v>18641000.66</v>
      </c>
      <c r="J134" s="112"/>
      <c r="K134" s="74">
        <f>K135+K137+K139+K143+K141</f>
        <v>18641000.66</v>
      </c>
      <c r="L134" s="112"/>
      <c r="M134" s="74">
        <f>M135+M137+M139+M143+M141</f>
        <v>18641000.66</v>
      </c>
      <c r="N134" s="113"/>
      <c r="O134" s="74">
        <f>O135+O137+O139+O143+O141</f>
        <v>18641000.66</v>
      </c>
      <c r="P134" s="113"/>
      <c r="Q134" s="74">
        <f>Q135+Q137+Q139+Q143+Q141</f>
        <v>22893848.66</v>
      </c>
      <c r="R134" s="113"/>
      <c r="S134" s="74">
        <f>S135+S137+S139+S143+S141</f>
        <v>27515202.66</v>
      </c>
      <c r="T134" s="74">
        <f>T135+T137+T139+T143+T141</f>
        <v>17808696.7</v>
      </c>
      <c r="U134" s="56">
        <f t="shared" si="3"/>
        <v>64.7</v>
      </c>
    </row>
    <row r="135" spans="1:21" ht="64.5" customHeight="1">
      <c r="A135" s="20" t="s">
        <v>729</v>
      </c>
      <c r="B135" s="45" t="s">
        <v>114</v>
      </c>
      <c r="C135" s="45" t="s">
        <v>224</v>
      </c>
      <c r="D135" s="45" t="s">
        <v>715</v>
      </c>
      <c r="E135" s="45" t="s">
        <v>247</v>
      </c>
      <c r="F135" s="45"/>
      <c r="G135" s="60">
        <f>G136</f>
        <v>679000</v>
      </c>
      <c r="H135" s="112"/>
      <c r="I135" s="60">
        <f>I136</f>
        <v>679000</v>
      </c>
      <c r="J135" s="112"/>
      <c r="K135" s="74">
        <f>K136</f>
        <v>679000</v>
      </c>
      <c r="L135" s="112"/>
      <c r="M135" s="74">
        <f>M136</f>
        <v>679000</v>
      </c>
      <c r="N135" s="113"/>
      <c r="O135" s="74">
        <f>O136</f>
        <v>354000</v>
      </c>
      <c r="P135" s="113"/>
      <c r="Q135" s="74">
        <f>Q136</f>
        <v>2000000</v>
      </c>
      <c r="R135" s="113"/>
      <c r="S135" s="74">
        <f>S136</f>
        <v>2000000</v>
      </c>
      <c r="T135" s="74">
        <f>T136</f>
        <v>0</v>
      </c>
      <c r="U135" s="56">
        <f t="shared" si="3"/>
        <v>0</v>
      </c>
    </row>
    <row r="136" spans="1:21" ht="34.5" customHeight="1">
      <c r="A136" s="9" t="s">
        <v>36</v>
      </c>
      <c r="B136" s="45" t="s">
        <v>114</v>
      </c>
      <c r="C136" s="45" t="s">
        <v>224</v>
      </c>
      <c r="D136" s="45" t="s">
        <v>715</v>
      </c>
      <c r="E136" s="45" t="s">
        <v>247</v>
      </c>
      <c r="F136" s="45" t="s">
        <v>59</v>
      </c>
      <c r="G136" s="74">
        <v>679000</v>
      </c>
      <c r="H136" s="112"/>
      <c r="I136" s="74">
        <f>G136+H136</f>
        <v>679000</v>
      </c>
      <c r="J136" s="112"/>
      <c r="K136" s="74">
        <f>I136+J136</f>
        <v>679000</v>
      </c>
      <c r="L136" s="112"/>
      <c r="M136" s="74">
        <f>K136+L136</f>
        <v>679000</v>
      </c>
      <c r="N136" s="113">
        <v>-325000</v>
      </c>
      <c r="O136" s="74">
        <f>M136+N136</f>
        <v>354000</v>
      </c>
      <c r="P136" s="113">
        <v>1646000</v>
      </c>
      <c r="Q136" s="74">
        <f>O136+P136</f>
        <v>2000000</v>
      </c>
      <c r="R136" s="113"/>
      <c r="S136" s="74">
        <f>Q136+R136</f>
        <v>2000000</v>
      </c>
      <c r="T136" s="74">
        <v>0</v>
      </c>
      <c r="U136" s="56">
        <f t="shared" si="3"/>
        <v>0</v>
      </c>
    </row>
    <row r="137" spans="1:21" ht="65.25" customHeight="1">
      <c r="A137" s="20" t="s">
        <v>495</v>
      </c>
      <c r="B137" s="45" t="s">
        <v>114</v>
      </c>
      <c r="C137" s="45" t="s">
        <v>224</v>
      </c>
      <c r="D137" s="45" t="s">
        <v>494</v>
      </c>
      <c r="E137" s="45" t="s">
        <v>248</v>
      </c>
      <c r="F137" s="45"/>
      <c r="G137" s="60">
        <f>G138</f>
        <v>6000000</v>
      </c>
      <c r="H137" s="112"/>
      <c r="I137" s="60">
        <f>I138</f>
        <v>6000000</v>
      </c>
      <c r="J137" s="112"/>
      <c r="K137" s="74">
        <f>K138</f>
        <v>6000000</v>
      </c>
      <c r="L137" s="112"/>
      <c r="M137" s="74">
        <f>M138</f>
        <v>5299392.78</v>
      </c>
      <c r="N137" s="113"/>
      <c r="O137" s="74">
        <f>O138</f>
        <v>5620592.78</v>
      </c>
      <c r="P137" s="113"/>
      <c r="Q137" s="74">
        <f>Q138</f>
        <v>7814722.78</v>
      </c>
      <c r="R137" s="113"/>
      <c r="S137" s="74">
        <f>S138</f>
        <v>8967244.7</v>
      </c>
      <c r="T137" s="74">
        <f>T138</f>
        <v>5893166.76</v>
      </c>
      <c r="U137" s="56">
        <f t="shared" si="3"/>
        <v>65.7</v>
      </c>
    </row>
    <row r="138" spans="1:21" ht="33" customHeight="1">
      <c r="A138" s="9" t="s">
        <v>36</v>
      </c>
      <c r="B138" s="45" t="s">
        <v>114</v>
      </c>
      <c r="C138" s="45" t="s">
        <v>224</v>
      </c>
      <c r="D138" s="45" t="s">
        <v>494</v>
      </c>
      <c r="E138" s="45" t="s">
        <v>248</v>
      </c>
      <c r="F138" s="45" t="s">
        <v>59</v>
      </c>
      <c r="G138" s="74">
        <v>6000000</v>
      </c>
      <c r="H138" s="112"/>
      <c r="I138" s="74">
        <v>6000000</v>
      </c>
      <c r="J138" s="112"/>
      <c r="K138" s="74">
        <v>6000000</v>
      </c>
      <c r="L138" s="112">
        <v>-700607.22</v>
      </c>
      <c r="M138" s="74">
        <f>K138+L138</f>
        <v>5299392.78</v>
      </c>
      <c r="N138" s="113">
        <v>321200</v>
      </c>
      <c r="O138" s="74">
        <f>M138+N138</f>
        <v>5620592.78</v>
      </c>
      <c r="P138" s="113">
        <f>-0.62-115969.38+2000000+310100</f>
        <v>2194130</v>
      </c>
      <c r="Q138" s="74">
        <f>O138+P138</f>
        <v>7814722.78</v>
      </c>
      <c r="R138" s="136">
        <v>1152521.92</v>
      </c>
      <c r="S138" s="74">
        <f>Q138+R138</f>
        <v>8967244.7</v>
      </c>
      <c r="T138" s="74">
        <v>5893166.76</v>
      </c>
      <c r="U138" s="56">
        <f t="shared" si="3"/>
        <v>65.7</v>
      </c>
    </row>
    <row r="139" spans="1:21" ht="63" customHeight="1">
      <c r="A139" s="20" t="s">
        <v>496</v>
      </c>
      <c r="B139" s="45" t="s">
        <v>114</v>
      </c>
      <c r="C139" s="45" t="s">
        <v>224</v>
      </c>
      <c r="D139" s="45" t="s">
        <v>497</v>
      </c>
      <c r="E139" s="45" t="s">
        <v>249</v>
      </c>
      <c r="F139" s="45"/>
      <c r="G139" s="60">
        <f>G140</f>
        <v>3500000</v>
      </c>
      <c r="H139" s="112"/>
      <c r="I139" s="60">
        <f>I140</f>
        <v>5962000.66</v>
      </c>
      <c r="J139" s="112"/>
      <c r="K139" s="74">
        <f>K140</f>
        <v>9402551.66</v>
      </c>
      <c r="L139" s="112"/>
      <c r="M139" s="74">
        <f>M140</f>
        <v>9056279.4</v>
      </c>
      <c r="N139" s="113"/>
      <c r="O139" s="74">
        <f>O140</f>
        <v>9056279.4</v>
      </c>
      <c r="P139" s="113"/>
      <c r="Q139" s="74">
        <f>Q140</f>
        <v>9208097.4</v>
      </c>
      <c r="R139" s="113"/>
      <c r="S139" s="74">
        <f>S140</f>
        <v>12676929.48</v>
      </c>
      <c r="T139" s="74">
        <f>T140</f>
        <v>8951915.14</v>
      </c>
      <c r="U139" s="56">
        <f t="shared" si="3"/>
        <v>70.6</v>
      </c>
    </row>
    <row r="140" spans="1:21" ht="39" customHeight="1">
      <c r="A140" s="9" t="s">
        <v>36</v>
      </c>
      <c r="B140" s="47" t="s">
        <v>114</v>
      </c>
      <c r="C140" s="47" t="s">
        <v>224</v>
      </c>
      <c r="D140" s="47" t="s">
        <v>497</v>
      </c>
      <c r="E140" s="47" t="s">
        <v>249</v>
      </c>
      <c r="F140" s="47" t="s">
        <v>59</v>
      </c>
      <c r="G140" s="74">
        <v>3500000</v>
      </c>
      <c r="H140" s="115">
        <v>2462000.66</v>
      </c>
      <c r="I140" s="74">
        <f>G140+H140</f>
        <v>5962000.66</v>
      </c>
      <c r="J140" s="115">
        <f>3500000-59449</f>
        <v>3440551</v>
      </c>
      <c r="K140" s="74">
        <f>I140+J140</f>
        <v>9402551.66</v>
      </c>
      <c r="L140" s="115">
        <v>-346272.26</v>
      </c>
      <c r="M140" s="74">
        <f>K140+L140</f>
        <v>9056279.4</v>
      </c>
      <c r="N140" s="116"/>
      <c r="O140" s="74">
        <f>M140+N140</f>
        <v>9056279.4</v>
      </c>
      <c r="P140" s="116">
        <f>461918-310100</f>
        <v>151818</v>
      </c>
      <c r="Q140" s="74">
        <f>O140+P140</f>
        <v>9208097.4</v>
      </c>
      <c r="R140" s="116">
        <v>3468832.08</v>
      </c>
      <c r="S140" s="74">
        <f>Q140+R140</f>
        <v>12676929.48</v>
      </c>
      <c r="T140" s="74">
        <v>8951915.14</v>
      </c>
      <c r="U140" s="56">
        <f t="shared" si="3"/>
        <v>70.6</v>
      </c>
    </row>
    <row r="141" spans="1:21" ht="34.5" customHeight="1">
      <c r="A141" s="14" t="s">
        <v>738</v>
      </c>
      <c r="B141" s="47" t="s">
        <v>114</v>
      </c>
      <c r="C141" s="47" t="s">
        <v>224</v>
      </c>
      <c r="D141" s="47" t="s">
        <v>716</v>
      </c>
      <c r="E141" s="47" t="s">
        <v>250</v>
      </c>
      <c r="F141" s="47"/>
      <c r="G141" s="60">
        <f>G142</f>
        <v>3500000</v>
      </c>
      <c r="H141" s="112"/>
      <c r="I141" s="60">
        <f>I142</f>
        <v>3500000</v>
      </c>
      <c r="J141" s="112"/>
      <c r="K141" s="74">
        <f>K142</f>
        <v>0</v>
      </c>
      <c r="L141" s="112"/>
      <c r="M141" s="74">
        <f>M142</f>
        <v>1046879.48</v>
      </c>
      <c r="N141" s="113"/>
      <c r="O141" s="74">
        <f>O142</f>
        <v>1046879.48</v>
      </c>
      <c r="P141" s="113"/>
      <c r="Q141" s="74">
        <f>Q142</f>
        <v>1046879.48</v>
      </c>
      <c r="R141" s="113"/>
      <c r="S141" s="74">
        <f>S142</f>
        <v>1046879.48</v>
      </c>
      <c r="T141" s="74">
        <f>T142</f>
        <v>1046879.48</v>
      </c>
      <c r="U141" s="56">
        <f aca="true" t="shared" si="8" ref="U141:U204">IF(S141=0,"-",IF(T141/S141*100&gt;110,"свыше 100",ROUND((T141/S141*100),1)))</f>
        <v>100</v>
      </c>
    </row>
    <row r="142" spans="1:21" ht="34.5" customHeight="1">
      <c r="A142" s="9" t="s">
        <v>36</v>
      </c>
      <c r="B142" s="47" t="s">
        <v>114</v>
      </c>
      <c r="C142" s="47" t="s">
        <v>224</v>
      </c>
      <c r="D142" s="47" t="s">
        <v>716</v>
      </c>
      <c r="E142" s="47" t="s">
        <v>250</v>
      </c>
      <c r="F142" s="47" t="s">
        <v>59</v>
      </c>
      <c r="G142" s="74">
        <v>3500000</v>
      </c>
      <c r="H142" s="112"/>
      <c r="I142" s="74">
        <f>G142+H142</f>
        <v>3500000</v>
      </c>
      <c r="J142" s="112">
        <v>-3500000</v>
      </c>
      <c r="K142" s="74">
        <f>I142+J142</f>
        <v>0</v>
      </c>
      <c r="L142" s="112">
        <v>1046879.48</v>
      </c>
      <c r="M142" s="74">
        <f>K142+L142</f>
        <v>1046879.48</v>
      </c>
      <c r="N142" s="113"/>
      <c r="O142" s="74">
        <f>M142+N142</f>
        <v>1046879.48</v>
      </c>
      <c r="P142" s="113"/>
      <c r="Q142" s="74">
        <f>O142+P142</f>
        <v>1046879.48</v>
      </c>
      <c r="R142" s="113"/>
      <c r="S142" s="74">
        <f>Q142+R142</f>
        <v>1046879.48</v>
      </c>
      <c r="T142" s="74">
        <f>R142+S142</f>
        <v>1046879.48</v>
      </c>
      <c r="U142" s="56">
        <f t="shared" si="8"/>
        <v>100</v>
      </c>
    </row>
    <row r="143" spans="1:21" ht="47.25" customHeight="1">
      <c r="A143" s="79" t="s">
        <v>498</v>
      </c>
      <c r="B143" s="45" t="s">
        <v>114</v>
      </c>
      <c r="C143" s="45" t="s">
        <v>224</v>
      </c>
      <c r="D143" s="45" t="s">
        <v>499</v>
      </c>
      <c r="E143" s="45" t="s">
        <v>251</v>
      </c>
      <c r="F143" s="47"/>
      <c r="G143" s="74">
        <f>G144</f>
        <v>2500000</v>
      </c>
      <c r="H143" s="112"/>
      <c r="I143" s="74">
        <f>I144</f>
        <v>2500000</v>
      </c>
      <c r="J143" s="112"/>
      <c r="K143" s="74">
        <f>K144</f>
        <v>2559449</v>
      </c>
      <c r="L143" s="112"/>
      <c r="M143" s="74">
        <f>M144</f>
        <v>2559449</v>
      </c>
      <c r="N143" s="113"/>
      <c r="O143" s="74">
        <f>O144</f>
        <v>2563249</v>
      </c>
      <c r="P143" s="113"/>
      <c r="Q143" s="74">
        <f>Q144</f>
        <v>2824149</v>
      </c>
      <c r="R143" s="113"/>
      <c r="S143" s="74">
        <f>S144</f>
        <v>2824149</v>
      </c>
      <c r="T143" s="74">
        <f>T144</f>
        <v>1916735.32</v>
      </c>
      <c r="U143" s="56">
        <f t="shared" si="8"/>
        <v>67.9</v>
      </c>
    </row>
    <row r="144" spans="1:21" ht="34.5" customHeight="1">
      <c r="A144" s="9" t="s">
        <v>36</v>
      </c>
      <c r="B144" s="45" t="s">
        <v>114</v>
      </c>
      <c r="C144" s="45" t="s">
        <v>224</v>
      </c>
      <c r="D144" s="45" t="s">
        <v>499</v>
      </c>
      <c r="E144" s="45" t="s">
        <v>251</v>
      </c>
      <c r="F144" s="45" t="s">
        <v>59</v>
      </c>
      <c r="G144" s="60">
        <v>2500000</v>
      </c>
      <c r="H144" s="112"/>
      <c r="I144" s="60">
        <f>G144+H144</f>
        <v>2500000</v>
      </c>
      <c r="J144" s="112">
        <v>59449</v>
      </c>
      <c r="K144" s="74">
        <f>I144+J144</f>
        <v>2559449</v>
      </c>
      <c r="L144" s="112"/>
      <c r="M144" s="74">
        <f>K144+L144</f>
        <v>2559449</v>
      </c>
      <c r="N144" s="113">
        <v>3800</v>
      </c>
      <c r="O144" s="74">
        <f>M144+N144</f>
        <v>2563249</v>
      </c>
      <c r="P144" s="113">
        <v>260900</v>
      </c>
      <c r="Q144" s="74">
        <f>O144+P144</f>
        <v>2824149</v>
      </c>
      <c r="R144" s="113"/>
      <c r="S144" s="74">
        <f>Q144+R144</f>
        <v>2824149</v>
      </c>
      <c r="T144" s="74">
        <v>1916735.32</v>
      </c>
      <c r="U144" s="56">
        <f t="shared" si="8"/>
        <v>67.9</v>
      </c>
    </row>
    <row r="145" spans="1:21" ht="21" customHeight="1">
      <c r="A145" s="14" t="s">
        <v>174</v>
      </c>
      <c r="B145" s="45" t="s">
        <v>114</v>
      </c>
      <c r="C145" s="45" t="s">
        <v>175</v>
      </c>
      <c r="D145" s="45"/>
      <c r="E145" s="45"/>
      <c r="F145" s="45"/>
      <c r="G145" s="61">
        <f>G146</f>
        <v>90000</v>
      </c>
      <c r="H145" s="112"/>
      <c r="I145" s="61">
        <f>I146</f>
        <v>90000</v>
      </c>
      <c r="J145" s="112"/>
      <c r="K145" s="75">
        <f>K146</f>
        <v>90000</v>
      </c>
      <c r="L145" s="112"/>
      <c r="M145" s="75">
        <f>M146</f>
        <v>90000</v>
      </c>
      <c r="N145" s="113"/>
      <c r="O145" s="75">
        <f>O146</f>
        <v>60000</v>
      </c>
      <c r="P145" s="113"/>
      <c r="Q145" s="75">
        <f>Q146</f>
        <v>42000</v>
      </c>
      <c r="R145" s="113"/>
      <c r="S145" s="75">
        <f aca="true" t="shared" si="9" ref="S145:T148">S146</f>
        <v>42000</v>
      </c>
      <c r="T145" s="75">
        <f t="shared" si="9"/>
        <v>42000</v>
      </c>
      <c r="U145" s="56">
        <f t="shared" si="8"/>
        <v>100</v>
      </c>
    </row>
    <row r="146" spans="1:21" ht="81.75" customHeight="1">
      <c r="A146" s="11" t="s">
        <v>559</v>
      </c>
      <c r="B146" s="45" t="s">
        <v>114</v>
      </c>
      <c r="C146" s="45" t="s">
        <v>175</v>
      </c>
      <c r="D146" s="45" t="s">
        <v>560</v>
      </c>
      <c r="E146" s="45" t="s">
        <v>351</v>
      </c>
      <c r="F146" s="45"/>
      <c r="G146" s="61">
        <f>G147</f>
        <v>90000</v>
      </c>
      <c r="H146" s="112"/>
      <c r="I146" s="61">
        <f>I147</f>
        <v>90000</v>
      </c>
      <c r="J146" s="112"/>
      <c r="K146" s="75">
        <f>K147</f>
        <v>90000</v>
      </c>
      <c r="L146" s="112"/>
      <c r="M146" s="75">
        <f>M147</f>
        <v>90000</v>
      </c>
      <c r="N146" s="113"/>
      <c r="O146" s="75">
        <f>O147</f>
        <v>60000</v>
      </c>
      <c r="P146" s="113"/>
      <c r="Q146" s="75">
        <f>Q147</f>
        <v>42000</v>
      </c>
      <c r="R146" s="113"/>
      <c r="S146" s="75">
        <f t="shared" si="9"/>
        <v>42000</v>
      </c>
      <c r="T146" s="75">
        <f t="shared" si="9"/>
        <v>42000</v>
      </c>
      <c r="U146" s="56">
        <f t="shared" si="8"/>
        <v>100</v>
      </c>
    </row>
    <row r="147" spans="1:21" ht="36.75" customHeight="1">
      <c r="A147" s="9" t="s">
        <v>654</v>
      </c>
      <c r="B147" s="45" t="s">
        <v>114</v>
      </c>
      <c r="C147" s="45" t="s">
        <v>175</v>
      </c>
      <c r="D147" s="45" t="s">
        <v>676</v>
      </c>
      <c r="E147" s="45" t="s">
        <v>453</v>
      </c>
      <c r="F147" s="45"/>
      <c r="G147" s="61">
        <f>G148</f>
        <v>90000</v>
      </c>
      <c r="H147" s="112"/>
      <c r="I147" s="61">
        <f>I148</f>
        <v>90000</v>
      </c>
      <c r="J147" s="112"/>
      <c r="K147" s="75">
        <f>K148</f>
        <v>90000</v>
      </c>
      <c r="L147" s="112"/>
      <c r="M147" s="75">
        <f>M148</f>
        <v>90000</v>
      </c>
      <c r="N147" s="113"/>
      <c r="O147" s="75">
        <f>O148</f>
        <v>60000</v>
      </c>
      <c r="P147" s="113"/>
      <c r="Q147" s="75">
        <f>Q148</f>
        <v>42000</v>
      </c>
      <c r="R147" s="113"/>
      <c r="S147" s="75">
        <f t="shared" si="9"/>
        <v>42000</v>
      </c>
      <c r="T147" s="75">
        <f t="shared" si="9"/>
        <v>42000</v>
      </c>
      <c r="U147" s="56">
        <f t="shared" si="8"/>
        <v>100</v>
      </c>
    </row>
    <row r="148" spans="1:21" ht="48" customHeight="1">
      <c r="A148" s="9" t="s">
        <v>719</v>
      </c>
      <c r="B148" s="45" t="s">
        <v>114</v>
      </c>
      <c r="C148" s="45" t="s">
        <v>175</v>
      </c>
      <c r="D148" s="45" t="s">
        <v>653</v>
      </c>
      <c r="E148" s="45" t="s">
        <v>454</v>
      </c>
      <c r="F148" s="45"/>
      <c r="G148" s="56">
        <f>G149</f>
        <v>90000</v>
      </c>
      <c r="H148" s="112"/>
      <c r="I148" s="56">
        <f>I149</f>
        <v>90000</v>
      </c>
      <c r="J148" s="112"/>
      <c r="K148" s="76">
        <f>K149</f>
        <v>90000</v>
      </c>
      <c r="L148" s="112"/>
      <c r="M148" s="76">
        <f>M149</f>
        <v>90000</v>
      </c>
      <c r="N148" s="113"/>
      <c r="O148" s="76">
        <f>O149</f>
        <v>60000</v>
      </c>
      <c r="P148" s="113"/>
      <c r="Q148" s="76">
        <f>Q149</f>
        <v>42000</v>
      </c>
      <c r="R148" s="113"/>
      <c r="S148" s="76">
        <f t="shared" si="9"/>
        <v>42000</v>
      </c>
      <c r="T148" s="76">
        <f t="shared" si="9"/>
        <v>42000</v>
      </c>
      <c r="U148" s="56">
        <f t="shared" si="8"/>
        <v>100</v>
      </c>
    </row>
    <row r="149" spans="1:21" ht="33" customHeight="1">
      <c r="A149" s="9" t="s">
        <v>68</v>
      </c>
      <c r="B149" s="45" t="s">
        <v>114</v>
      </c>
      <c r="C149" s="45" t="s">
        <v>175</v>
      </c>
      <c r="D149" s="45" t="s">
        <v>653</v>
      </c>
      <c r="E149" s="45" t="s">
        <v>454</v>
      </c>
      <c r="F149" s="45" t="s">
        <v>59</v>
      </c>
      <c r="G149" s="74">
        <v>90000</v>
      </c>
      <c r="H149" s="112"/>
      <c r="I149" s="74">
        <f>G149+H149</f>
        <v>90000</v>
      </c>
      <c r="J149" s="112"/>
      <c r="K149" s="74">
        <f>I149+J149</f>
        <v>90000</v>
      </c>
      <c r="L149" s="112"/>
      <c r="M149" s="74">
        <f>K149+L149</f>
        <v>90000</v>
      </c>
      <c r="N149" s="113">
        <v>-30000</v>
      </c>
      <c r="O149" s="74">
        <f>M149+N149</f>
        <v>60000</v>
      </c>
      <c r="P149" s="113">
        <v>-18000</v>
      </c>
      <c r="Q149" s="74">
        <f>O149+P149</f>
        <v>42000</v>
      </c>
      <c r="R149" s="113"/>
      <c r="S149" s="74">
        <f>Q149+R149</f>
        <v>42000</v>
      </c>
      <c r="T149" s="74">
        <f>R149+S149</f>
        <v>42000</v>
      </c>
      <c r="U149" s="56">
        <f t="shared" si="8"/>
        <v>100</v>
      </c>
    </row>
    <row r="150" spans="1:21" ht="30.75" customHeight="1">
      <c r="A150" s="9" t="s">
        <v>147</v>
      </c>
      <c r="B150" s="45" t="s">
        <v>114</v>
      </c>
      <c r="C150" s="45" t="s">
        <v>119</v>
      </c>
      <c r="D150" s="45"/>
      <c r="E150" s="45"/>
      <c r="F150" s="45"/>
      <c r="G150" s="56">
        <f>G151+G156+G166</f>
        <v>2778740</v>
      </c>
      <c r="H150" s="112"/>
      <c r="I150" s="56">
        <f>I151+I156+I166</f>
        <v>3092639</v>
      </c>
      <c r="J150" s="112"/>
      <c r="K150" s="76">
        <f>K151+K156+K166</f>
        <v>3775078.4699999997</v>
      </c>
      <c r="L150" s="112"/>
      <c r="M150" s="76">
        <f>M151+M156+M166</f>
        <v>3517350.41</v>
      </c>
      <c r="N150" s="113"/>
      <c r="O150" s="76">
        <f>O151+O156+O166</f>
        <v>3583981.4299999997</v>
      </c>
      <c r="P150" s="113"/>
      <c r="Q150" s="76">
        <f>Q151+Q156+Q166</f>
        <v>3295691.55</v>
      </c>
      <c r="R150" s="113"/>
      <c r="S150" s="76">
        <f>S151+S156+S166</f>
        <v>3346562.38</v>
      </c>
      <c r="T150" s="76">
        <f>T151+T156+T166</f>
        <v>1776720.58</v>
      </c>
      <c r="U150" s="56">
        <f t="shared" si="8"/>
        <v>53.1</v>
      </c>
    </row>
    <row r="151" spans="1:21" ht="83.25" customHeight="1">
      <c r="A151" s="23" t="s">
        <v>500</v>
      </c>
      <c r="B151" s="45" t="s">
        <v>114</v>
      </c>
      <c r="C151" s="45" t="s">
        <v>119</v>
      </c>
      <c r="D151" s="45" t="s">
        <v>501</v>
      </c>
      <c r="E151" s="45" t="s">
        <v>455</v>
      </c>
      <c r="F151" s="45"/>
      <c r="G151" s="56">
        <f>G152</f>
        <v>1310040</v>
      </c>
      <c r="H151" s="112"/>
      <c r="I151" s="56">
        <f>I152</f>
        <v>1320039</v>
      </c>
      <c r="J151" s="112"/>
      <c r="K151" s="76">
        <f>K152+K154</f>
        <v>2002478.47</v>
      </c>
      <c r="L151" s="112"/>
      <c r="M151" s="76">
        <f>M152+M154</f>
        <v>1744750.41</v>
      </c>
      <c r="N151" s="113"/>
      <c r="O151" s="76">
        <f>O152+O154</f>
        <v>1811381.43</v>
      </c>
      <c r="P151" s="113"/>
      <c r="Q151" s="76">
        <f>Q152+Q154</f>
        <v>1523091.5499999998</v>
      </c>
      <c r="R151" s="113"/>
      <c r="S151" s="76">
        <f>S152+S154</f>
        <v>1573962.38</v>
      </c>
      <c r="T151" s="76">
        <f>T152+T154</f>
        <v>1355277.25</v>
      </c>
      <c r="U151" s="56">
        <f t="shared" si="8"/>
        <v>86.1</v>
      </c>
    </row>
    <row r="152" spans="1:21" ht="37.5" customHeight="1">
      <c r="A152" s="9" t="s">
        <v>502</v>
      </c>
      <c r="B152" s="45" t="s">
        <v>114</v>
      </c>
      <c r="C152" s="45" t="s">
        <v>119</v>
      </c>
      <c r="D152" s="45" t="s">
        <v>503</v>
      </c>
      <c r="E152" s="45" t="s">
        <v>456</v>
      </c>
      <c r="F152" s="45"/>
      <c r="G152" s="56">
        <f>G153</f>
        <v>1310040</v>
      </c>
      <c r="H152" s="112"/>
      <c r="I152" s="56">
        <f>I153</f>
        <v>1320039</v>
      </c>
      <c r="J152" s="112"/>
      <c r="K152" s="76">
        <f>K153</f>
        <v>1445678.47</v>
      </c>
      <c r="L152" s="112"/>
      <c r="M152" s="76">
        <f>M153</f>
        <v>1187950.41</v>
      </c>
      <c r="N152" s="113"/>
      <c r="O152" s="76">
        <f>O153</f>
        <v>1254581.43</v>
      </c>
      <c r="P152" s="113"/>
      <c r="Q152" s="76">
        <f>Q153</f>
        <v>966291.5499999999</v>
      </c>
      <c r="R152" s="113"/>
      <c r="S152" s="76">
        <f>S153</f>
        <v>1017162.3799999999</v>
      </c>
      <c r="T152" s="76">
        <f>T153</f>
        <v>1017161.25</v>
      </c>
      <c r="U152" s="56">
        <f t="shared" si="8"/>
        <v>100</v>
      </c>
    </row>
    <row r="153" spans="1:21" ht="36" customHeight="1">
      <c r="A153" s="9" t="s">
        <v>68</v>
      </c>
      <c r="B153" s="45" t="s">
        <v>114</v>
      </c>
      <c r="C153" s="45" t="s">
        <v>119</v>
      </c>
      <c r="D153" s="45" t="s">
        <v>503</v>
      </c>
      <c r="E153" s="45" t="s">
        <v>456</v>
      </c>
      <c r="F153" s="45" t="s">
        <v>59</v>
      </c>
      <c r="G153" s="74">
        <v>1310040</v>
      </c>
      <c r="H153" s="112">
        <v>9999</v>
      </c>
      <c r="I153" s="74">
        <f>G153+H153</f>
        <v>1320039</v>
      </c>
      <c r="J153" s="130">
        <f>409452.27+45187.2-329000</f>
        <v>125639.47000000003</v>
      </c>
      <c r="K153" s="74">
        <f>I153+J153</f>
        <v>1445678.47</v>
      </c>
      <c r="L153" s="112">
        <f>3121584.17+409559.7-718606-3070265.93</f>
        <v>-257728.06000000006</v>
      </c>
      <c r="M153" s="74">
        <f>K153+L153</f>
        <v>1187950.41</v>
      </c>
      <c r="N153" s="113">
        <f>3371.19+63259.83</f>
        <v>66631.02</v>
      </c>
      <c r="O153" s="74">
        <f>M153+N153</f>
        <v>1254581.43</v>
      </c>
      <c r="P153" s="113">
        <f>-227208.38-61081.5</f>
        <v>-288289.88</v>
      </c>
      <c r="Q153" s="74">
        <f>O153+P153</f>
        <v>966291.5499999999</v>
      </c>
      <c r="R153" s="113">
        <f>50870.03+0.8</f>
        <v>50870.83</v>
      </c>
      <c r="S153" s="74">
        <f>Q153+R153</f>
        <v>1017162.3799999999</v>
      </c>
      <c r="T153" s="74">
        <v>1017161.25</v>
      </c>
      <c r="U153" s="56">
        <f t="shared" si="8"/>
        <v>100</v>
      </c>
    </row>
    <row r="154" spans="1:21" ht="45.75" customHeight="1">
      <c r="A154" s="129" t="s">
        <v>29</v>
      </c>
      <c r="B154" s="45" t="s">
        <v>114</v>
      </c>
      <c r="C154" s="49" t="s">
        <v>119</v>
      </c>
      <c r="D154" s="49"/>
      <c r="E154" s="45" t="s">
        <v>30</v>
      </c>
      <c r="F154" s="49"/>
      <c r="G154" s="74"/>
      <c r="H154" s="112"/>
      <c r="I154" s="74"/>
      <c r="J154" s="130"/>
      <c r="K154" s="74">
        <f>K155</f>
        <v>556800</v>
      </c>
      <c r="L154" s="112"/>
      <c r="M154" s="74">
        <f>M155</f>
        <v>556800</v>
      </c>
      <c r="N154" s="113"/>
      <c r="O154" s="74">
        <f>O155</f>
        <v>556800</v>
      </c>
      <c r="P154" s="113"/>
      <c r="Q154" s="74">
        <f>Q155</f>
        <v>556800</v>
      </c>
      <c r="R154" s="113"/>
      <c r="S154" s="74">
        <f>S155</f>
        <v>556800</v>
      </c>
      <c r="T154" s="74">
        <f>T155</f>
        <v>338116</v>
      </c>
      <c r="U154" s="56">
        <f t="shared" si="8"/>
        <v>60.7</v>
      </c>
    </row>
    <row r="155" spans="1:21" ht="36" customHeight="1">
      <c r="A155" s="129" t="s">
        <v>68</v>
      </c>
      <c r="B155" s="45" t="s">
        <v>114</v>
      </c>
      <c r="C155" s="49" t="s">
        <v>119</v>
      </c>
      <c r="D155" s="49"/>
      <c r="E155" s="45" t="s">
        <v>30</v>
      </c>
      <c r="F155" s="49" t="s">
        <v>59</v>
      </c>
      <c r="G155" s="74"/>
      <c r="H155" s="112"/>
      <c r="I155" s="74"/>
      <c r="J155" s="130">
        <v>556800</v>
      </c>
      <c r="K155" s="74">
        <f>I155+J155</f>
        <v>556800</v>
      </c>
      <c r="L155" s="112"/>
      <c r="M155" s="74">
        <f>K155+L155</f>
        <v>556800</v>
      </c>
      <c r="N155" s="113"/>
      <c r="O155" s="74">
        <f>M155+N155</f>
        <v>556800</v>
      </c>
      <c r="P155" s="113"/>
      <c r="Q155" s="74">
        <f>O155+P155</f>
        <v>556800</v>
      </c>
      <c r="R155" s="113"/>
      <c r="S155" s="74">
        <f>Q155+R155</f>
        <v>556800</v>
      </c>
      <c r="T155" s="74">
        <v>338116</v>
      </c>
      <c r="U155" s="56">
        <f t="shared" si="8"/>
        <v>60.7</v>
      </c>
    </row>
    <row r="156" spans="1:21" ht="128.25" customHeight="1">
      <c r="A156" s="9" t="s">
        <v>488</v>
      </c>
      <c r="B156" s="45" t="s">
        <v>114</v>
      </c>
      <c r="C156" s="45" t="s">
        <v>119</v>
      </c>
      <c r="D156" s="45" t="s">
        <v>487</v>
      </c>
      <c r="E156" s="45" t="s">
        <v>372</v>
      </c>
      <c r="F156" s="45"/>
      <c r="G156" s="56">
        <f>G157</f>
        <v>90000</v>
      </c>
      <c r="H156" s="112"/>
      <c r="I156" s="56">
        <f>I157</f>
        <v>364500</v>
      </c>
      <c r="J156" s="112"/>
      <c r="K156" s="76">
        <f>K157</f>
        <v>364500</v>
      </c>
      <c r="L156" s="112"/>
      <c r="M156" s="76">
        <f>M157</f>
        <v>364500</v>
      </c>
      <c r="N156" s="113"/>
      <c r="O156" s="76">
        <f>O157</f>
        <v>364500</v>
      </c>
      <c r="P156" s="113"/>
      <c r="Q156" s="76">
        <f>Q157</f>
        <v>364500</v>
      </c>
      <c r="R156" s="113"/>
      <c r="S156" s="76">
        <f>S157</f>
        <v>364500</v>
      </c>
      <c r="T156" s="76">
        <f>T157</f>
        <v>364500</v>
      </c>
      <c r="U156" s="56">
        <f t="shared" si="8"/>
        <v>100</v>
      </c>
    </row>
    <row r="157" spans="1:21" ht="96.75" customHeight="1">
      <c r="A157" s="34" t="s">
        <v>597</v>
      </c>
      <c r="B157" s="45" t="s">
        <v>114</v>
      </c>
      <c r="C157" s="45" t="s">
        <v>119</v>
      </c>
      <c r="D157" s="45" t="s">
        <v>489</v>
      </c>
      <c r="E157" s="45" t="s">
        <v>440</v>
      </c>
      <c r="F157" s="45"/>
      <c r="G157" s="56">
        <f>G164+G158</f>
        <v>90000</v>
      </c>
      <c r="H157" s="112"/>
      <c r="I157" s="56">
        <f>I164+I158+I161</f>
        <v>364500</v>
      </c>
      <c r="J157" s="112"/>
      <c r="K157" s="76">
        <f>K164+K158+K161</f>
        <v>364500</v>
      </c>
      <c r="L157" s="112"/>
      <c r="M157" s="76">
        <f>M164+M158+M161</f>
        <v>364500</v>
      </c>
      <c r="N157" s="113"/>
      <c r="O157" s="76">
        <f>O164+O158+O161</f>
        <v>364500</v>
      </c>
      <c r="P157" s="113"/>
      <c r="Q157" s="76">
        <f>Q164+Q158+Q161</f>
        <v>364500</v>
      </c>
      <c r="R157" s="113"/>
      <c r="S157" s="76">
        <f>S164+S158+S161</f>
        <v>364500</v>
      </c>
      <c r="T157" s="76">
        <f>T164+T158+T161</f>
        <v>364500</v>
      </c>
      <c r="U157" s="56">
        <f t="shared" si="8"/>
        <v>100</v>
      </c>
    </row>
    <row r="158" spans="1:21" ht="51.75" customHeight="1">
      <c r="A158" s="34" t="s">
        <v>739</v>
      </c>
      <c r="B158" s="45" t="s">
        <v>114</v>
      </c>
      <c r="C158" s="45" t="s">
        <v>119</v>
      </c>
      <c r="D158" s="45" t="s">
        <v>740</v>
      </c>
      <c r="E158" s="45" t="s">
        <v>457</v>
      </c>
      <c r="F158" s="45"/>
      <c r="G158" s="56">
        <f>G159</f>
        <v>45000</v>
      </c>
      <c r="H158" s="112"/>
      <c r="I158" s="56">
        <f>I159+I160</f>
        <v>121500</v>
      </c>
      <c r="J158" s="112"/>
      <c r="K158" s="76">
        <f>K159+K160</f>
        <v>121500</v>
      </c>
      <c r="L158" s="112"/>
      <c r="M158" s="76">
        <f>M159+M160</f>
        <v>121500</v>
      </c>
      <c r="N158" s="113"/>
      <c r="O158" s="76">
        <f>O159+O160</f>
        <v>121500</v>
      </c>
      <c r="P158" s="113"/>
      <c r="Q158" s="76">
        <f>Q159+Q160</f>
        <v>121500</v>
      </c>
      <c r="R158" s="113"/>
      <c r="S158" s="76">
        <f>S159+S160</f>
        <v>121500</v>
      </c>
      <c r="T158" s="76">
        <f>T159+T160</f>
        <v>121500</v>
      </c>
      <c r="U158" s="56">
        <f t="shared" si="8"/>
        <v>100</v>
      </c>
    </row>
    <row r="159" spans="1:21" ht="0.75" customHeight="1">
      <c r="A159" s="23" t="s">
        <v>76</v>
      </c>
      <c r="B159" s="45" t="s">
        <v>114</v>
      </c>
      <c r="C159" s="45" t="s">
        <v>119</v>
      </c>
      <c r="D159" s="45" t="s">
        <v>740</v>
      </c>
      <c r="E159" s="45" t="s">
        <v>457</v>
      </c>
      <c r="F159" s="45" t="s">
        <v>216</v>
      </c>
      <c r="G159" s="74">
        <v>45000</v>
      </c>
      <c r="H159" s="112">
        <v>-45000</v>
      </c>
      <c r="I159" s="74">
        <f>G159+H159</f>
        <v>0</v>
      </c>
      <c r="J159" s="112"/>
      <c r="K159" s="74">
        <f>I159+J159</f>
        <v>0</v>
      </c>
      <c r="L159" s="112"/>
      <c r="M159" s="74">
        <f>K159+L159</f>
        <v>0</v>
      </c>
      <c r="N159" s="113"/>
      <c r="O159" s="74">
        <f>M159+N159</f>
        <v>0</v>
      </c>
      <c r="P159" s="113"/>
      <c r="Q159" s="74">
        <f>O159+P159</f>
        <v>0</v>
      </c>
      <c r="R159" s="113"/>
      <c r="S159" s="74">
        <f>Q159+R159</f>
        <v>0</v>
      </c>
      <c r="T159" s="74">
        <f>R159+S159</f>
        <v>0</v>
      </c>
      <c r="U159" s="56" t="str">
        <f t="shared" si="8"/>
        <v>-</v>
      </c>
    </row>
    <row r="160" spans="1:21" ht="20.25" customHeight="1">
      <c r="A160" s="13" t="s">
        <v>213</v>
      </c>
      <c r="B160" s="45" t="s">
        <v>114</v>
      </c>
      <c r="C160" s="45" t="s">
        <v>119</v>
      </c>
      <c r="D160" s="45" t="s">
        <v>740</v>
      </c>
      <c r="E160" s="45" t="s">
        <v>457</v>
      </c>
      <c r="F160" s="45" t="s">
        <v>211</v>
      </c>
      <c r="G160" s="74"/>
      <c r="H160" s="112">
        <v>121500</v>
      </c>
      <c r="I160" s="74">
        <f>G160+H160</f>
        <v>121500</v>
      </c>
      <c r="J160" s="112"/>
      <c r="K160" s="74">
        <f>I160+J160</f>
        <v>121500</v>
      </c>
      <c r="L160" s="112"/>
      <c r="M160" s="74">
        <f>K160+L160</f>
        <v>121500</v>
      </c>
      <c r="N160" s="113"/>
      <c r="O160" s="74">
        <f>M160+N160</f>
        <v>121500</v>
      </c>
      <c r="P160" s="113"/>
      <c r="Q160" s="74">
        <f>O160+P160</f>
        <v>121500</v>
      </c>
      <c r="R160" s="113"/>
      <c r="S160" s="74">
        <f>Q160+R160</f>
        <v>121500</v>
      </c>
      <c r="T160" s="74">
        <f>R160+S160</f>
        <v>121500</v>
      </c>
      <c r="U160" s="56">
        <f t="shared" si="8"/>
        <v>100</v>
      </c>
    </row>
    <row r="161" spans="1:21" ht="66" customHeight="1">
      <c r="A161" s="13" t="s">
        <v>31</v>
      </c>
      <c r="B161" s="45" t="s">
        <v>114</v>
      </c>
      <c r="C161" s="45" t="s">
        <v>119</v>
      </c>
      <c r="D161" s="45"/>
      <c r="E161" s="45" t="s">
        <v>32</v>
      </c>
      <c r="F161" s="45"/>
      <c r="G161" s="74"/>
      <c r="H161" s="112"/>
      <c r="I161" s="74">
        <f>I162+I163</f>
        <v>243000</v>
      </c>
      <c r="J161" s="112"/>
      <c r="K161" s="74">
        <f>K162+K163</f>
        <v>243000</v>
      </c>
      <c r="L161" s="112"/>
      <c r="M161" s="74">
        <f>M162+M163</f>
        <v>243000</v>
      </c>
      <c r="N161" s="113"/>
      <c r="O161" s="74">
        <f>O162+O163</f>
        <v>243000</v>
      </c>
      <c r="P161" s="113"/>
      <c r="Q161" s="74">
        <f>Q162+Q163</f>
        <v>243000</v>
      </c>
      <c r="R161" s="113"/>
      <c r="S161" s="74">
        <f>S162+S163</f>
        <v>243000</v>
      </c>
      <c r="T161" s="74">
        <f>T162+T163</f>
        <v>243000</v>
      </c>
      <c r="U161" s="56">
        <f t="shared" si="8"/>
        <v>100</v>
      </c>
    </row>
    <row r="162" spans="1:21" ht="38.25" customHeight="1">
      <c r="A162" s="9" t="s">
        <v>68</v>
      </c>
      <c r="B162" s="45" t="s">
        <v>114</v>
      </c>
      <c r="C162" s="45" t="s">
        <v>119</v>
      </c>
      <c r="D162" s="45"/>
      <c r="E162" s="45" t="s">
        <v>32</v>
      </c>
      <c r="F162" s="45" t="s">
        <v>59</v>
      </c>
      <c r="G162" s="74"/>
      <c r="H162" s="112">
        <v>40000</v>
      </c>
      <c r="I162" s="74">
        <f>G162+H162</f>
        <v>40000</v>
      </c>
      <c r="J162" s="112"/>
      <c r="K162" s="74">
        <f>I162+J162</f>
        <v>40000</v>
      </c>
      <c r="L162" s="112"/>
      <c r="M162" s="74">
        <f>K162+L162</f>
        <v>40000</v>
      </c>
      <c r="N162" s="113"/>
      <c r="O162" s="74">
        <f>M162+N162</f>
        <v>40000</v>
      </c>
      <c r="P162" s="113"/>
      <c r="Q162" s="74">
        <f>O162+P162</f>
        <v>40000</v>
      </c>
      <c r="R162" s="113"/>
      <c r="S162" s="74">
        <f>Q162+R162</f>
        <v>40000</v>
      </c>
      <c r="T162" s="74">
        <f>R162+S162</f>
        <v>40000</v>
      </c>
      <c r="U162" s="56">
        <f t="shared" si="8"/>
        <v>100</v>
      </c>
    </row>
    <row r="163" spans="1:21" ht="16.5" customHeight="1">
      <c r="A163" s="119" t="s">
        <v>213</v>
      </c>
      <c r="B163" s="45" t="s">
        <v>114</v>
      </c>
      <c r="C163" s="45" t="s">
        <v>119</v>
      </c>
      <c r="D163" s="45"/>
      <c r="E163" s="45" t="s">
        <v>32</v>
      </c>
      <c r="F163" s="45" t="s">
        <v>211</v>
      </c>
      <c r="G163" s="74"/>
      <c r="H163" s="112">
        <v>203000</v>
      </c>
      <c r="I163" s="74">
        <f>G163+H163</f>
        <v>203000</v>
      </c>
      <c r="J163" s="112"/>
      <c r="K163" s="74">
        <f>I163+J163</f>
        <v>203000</v>
      </c>
      <c r="L163" s="112"/>
      <c r="M163" s="74">
        <f>K163+L163</f>
        <v>203000</v>
      </c>
      <c r="N163" s="113"/>
      <c r="O163" s="74">
        <f>M163+N163</f>
        <v>203000</v>
      </c>
      <c r="P163" s="113"/>
      <c r="Q163" s="74">
        <f>O163+P163</f>
        <v>203000</v>
      </c>
      <c r="R163" s="113"/>
      <c r="S163" s="74">
        <f>Q163+R163</f>
        <v>203000</v>
      </c>
      <c r="T163" s="74">
        <f>R163+S163</f>
        <v>203000</v>
      </c>
      <c r="U163" s="56">
        <f t="shared" si="8"/>
        <v>100</v>
      </c>
    </row>
    <row r="164" spans="1:21" ht="30.75" customHeight="1" hidden="1">
      <c r="A164" s="9" t="s">
        <v>225</v>
      </c>
      <c r="B164" s="45" t="s">
        <v>114</v>
      </c>
      <c r="C164" s="45" t="s">
        <v>119</v>
      </c>
      <c r="D164" s="45" t="s">
        <v>645</v>
      </c>
      <c r="E164" s="45" t="s">
        <v>458</v>
      </c>
      <c r="F164" s="45"/>
      <c r="G164" s="56">
        <f>G165</f>
        <v>45000</v>
      </c>
      <c r="H164" s="112"/>
      <c r="I164" s="56">
        <f>I165</f>
        <v>0</v>
      </c>
      <c r="J164" s="112"/>
      <c r="K164" s="76">
        <f>K165</f>
        <v>0</v>
      </c>
      <c r="L164" s="112"/>
      <c r="M164" s="76">
        <f>M165</f>
        <v>0</v>
      </c>
      <c r="N164" s="113"/>
      <c r="O164" s="76">
        <f>O165</f>
        <v>0</v>
      </c>
      <c r="P164" s="113"/>
      <c r="Q164" s="76">
        <f>Q165</f>
        <v>0</v>
      </c>
      <c r="R164" s="113"/>
      <c r="S164" s="76">
        <f>S165</f>
        <v>0</v>
      </c>
      <c r="T164" s="76">
        <f>T165</f>
        <v>0</v>
      </c>
      <c r="U164" s="56" t="str">
        <f t="shared" si="8"/>
        <v>-</v>
      </c>
    </row>
    <row r="165" spans="1:21" ht="49.5" customHeight="1" hidden="1">
      <c r="A165" s="9" t="s">
        <v>83</v>
      </c>
      <c r="B165" s="45" t="s">
        <v>114</v>
      </c>
      <c r="C165" s="45" t="s">
        <v>119</v>
      </c>
      <c r="D165" s="45" t="s">
        <v>645</v>
      </c>
      <c r="E165" s="45" t="s">
        <v>458</v>
      </c>
      <c r="F165" s="45" t="s">
        <v>82</v>
      </c>
      <c r="G165" s="74">
        <v>45000</v>
      </c>
      <c r="H165" s="112">
        <v>-45000</v>
      </c>
      <c r="I165" s="74">
        <f>G165+H165</f>
        <v>0</v>
      </c>
      <c r="J165" s="112"/>
      <c r="K165" s="74">
        <f>I165+J165</f>
        <v>0</v>
      </c>
      <c r="L165" s="112"/>
      <c r="M165" s="74">
        <f>K165+L165</f>
        <v>0</v>
      </c>
      <c r="N165" s="113"/>
      <c r="O165" s="74">
        <f>M165+N165</f>
        <v>0</v>
      </c>
      <c r="P165" s="113"/>
      <c r="Q165" s="74">
        <f>O165+P165</f>
        <v>0</v>
      </c>
      <c r="R165" s="113"/>
      <c r="S165" s="74">
        <f>Q165+R165</f>
        <v>0</v>
      </c>
      <c r="T165" s="74">
        <f>R165+S165</f>
        <v>0</v>
      </c>
      <c r="U165" s="56" t="str">
        <f t="shared" si="8"/>
        <v>-</v>
      </c>
    </row>
    <row r="166" spans="1:21" ht="18" customHeight="1">
      <c r="A166" s="85" t="s">
        <v>683</v>
      </c>
      <c r="B166" s="45" t="s">
        <v>114</v>
      </c>
      <c r="C166" s="45" t="s">
        <v>119</v>
      </c>
      <c r="D166" s="45"/>
      <c r="E166" s="45" t="s">
        <v>357</v>
      </c>
      <c r="F166" s="45"/>
      <c r="G166" s="74">
        <f>G167</f>
        <v>1378700</v>
      </c>
      <c r="H166" s="112"/>
      <c r="I166" s="74">
        <f>I167</f>
        <v>1408100</v>
      </c>
      <c r="J166" s="112"/>
      <c r="K166" s="74">
        <f>K167</f>
        <v>1408100</v>
      </c>
      <c r="L166" s="112"/>
      <c r="M166" s="74">
        <f>M167</f>
        <v>1408100</v>
      </c>
      <c r="N166" s="113"/>
      <c r="O166" s="74">
        <f>O167</f>
        <v>1408100</v>
      </c>
      <c r="P166" s="113"/>
      <c r="Q166" s="74">
        <f>Q167</f>
        <v>1408100</v>
      </c>
      <c r="R166" s="113"/>
      <c r="S166" s="74">
        <f>S167</f>
        <v>1408100</v>
      </c>
      <c r="T166" s="74">
        <f>T167</f>
        <v>56943.33</v>
      </c>
      <c r="U166" s="56">
        <f t="shared" si="8"/>
        <v>4</v>
      </c>
    </row>
    <row r="167" spans="1:21" ht="60.75" customHeight="1">
      <c r="A167" s="89" t="s">
        <v>460</v>
      </c>
      <c r="B167" s="45" t="s">
        <v>114</v>
      </c>
      <c r="C167" s="45" t="s">
        <v>119</v>
      </c>
      <c r="D167" s="45"/>
      <c r="E167" s="88">
        <v>7000053910</v>
      </c>
      <c r="F167" s="45"/>
      <c r="G167" s="74">
        <f>G168</f>
        <v>1378700</v>
      </c>
      <c r="H167" s="112"/>
      <c r="I167" s="74">
        <f>I168</f>
        <v>1408100</v>
      </c>
      <c r="J167" s="112"/>
      <c r="K167" s="74">
        <f>K168</f>
        <v>1408100</v>
      </c>
      <c r="L167" s="112"/>
      <c r="M167" s="74">
        <f>M168</f>
        <v>1408100</v>
      </c>
      <c r="N167" s="113"/>
      <c r="O167" s="74">
        <f>O168</f>
        <v>1408100</v>
      </c>
      <c r="P167" s="113"/>
      <c r="Q167" s="74">
        <f>Q168</f>
        <v>1408100</v>
      </c>
      <c r="R167" s="113"/>
      <c r="S167" s="74">
        <f>S168</f>
        <v>1408100</v>
      </c>
      <c r="T167" s="74">
        <f>T168</f>
        <v>56943.33</v>
      </c>
      <c r="U167" s="56">
        <f t="shared" si="8"/>
        <v>4</v>
      </c>
    </row>
    <row r="168" spans="1:21" ht="31.5" customHeight="1">
      <c r="A168" s="9" t="s">
        <v>68</v>
      </c>
      <c r="B168" s="45" t="s">
        <v>114</v>
      </c>
      <c r="C168" s="45" t="s">
        <v>119</v>
      </c>
      <c r="D168" s="45"/>
      <c r="E168" s="45" t="s">
        <v>461</v>
      </c>
      <c r="F168" s="49" t="s">
        <v>59</v>
      </c>
      <c r="G168" s="74">
        <v>1378700</v>
      </c>
      <c r="H168" s="112">
        <v>29400</v>
      </c>
      <c r="I168" s="74">
        <f>G168+H168</f>
        <v>1408100</v>
      </c>
      <c r="J168" s="112"/>
      <c r="K168" s="74">
        <f>I168+J168</f>
        <v>1408100</v>
      </c>
      <c r="L168" s="112"/>
      <c r="M168" s="74">
        <f>K168+L168</f>
        <v>1408100</v>
      </c>
      <c r="N168" s="113"/>
      <c r="O168" s="74">
        <f>M168+N168</f>
        <v>1408100</v>
      </c>
      <c r="P168" s="113"/>
      <c r="Q168" s="74">
        <f>O168+P168</f>
        <v>1408100</v>
      </c>
      <c r="R168" s="113"/>
      <c r="S168" s="74">
        <f>Q168+R168</f>
        <v>1408100</v>
      </c>
      <c r="T168" s="74">
        <v>56943.33</v>
      </c>
      <c r="U168" s="56">
        <f t="shared" si="8"/>
        <v>4</v>
      </c>
    </row>
    <row r="169" spans="1:21" ht="18.75" customHeight="1">
      <c r="A169" s="40" t="s">
        <v>148</v>
      </c>
      <c r="B169" s="45">
        <v>901</v>
      </c>
      <c r="C169" s="45" t="s">
        <v>104</v>
      </c>
      <c r="D169" s="45"/>
      <c r="E169" s="45"/>
      <c r="F169" s="45"/>
      <c r="G169" s="60">
        <f>G170+G178+G205++G217</f>
        <v>40618380</v>
      </c>
      <c r="H169" s="112"/>
      <c r="I169" s="60">
        <f>I170+I178+I205++I217</f>
        <v>48002760</v>
      </c>
      <c r="J169" s="112"/>
      <c r="K169" s="74">
        <f>K170+K178+K205++K217</f>
        <v>55636360</v>
      </c>
      <c r="L169" s="112"/>
      <c r="M169" s="74">
        <f>M170+M178+M205++M217</f>
        <v>55428760</v>
      </c>
      <c r="N169" s="113"/>
      <c r="O169" s="74">
        <f>O170+O178+O205++O217</f>
        <v>53681885.86</v>
      </c>
      <c r="P169" s="113"/>
      <c r="Q169" s="74">
        <f>Q170+Q178+Q205++Q217</f>
        <v>53671997.54</v>
      </c>
      <c r="R169" s="113"/>
      <c r="S169" s="74">
        <f>S170+S178+S205++S217</f>
        <v>76431266.44</v>
      </c>
      <c r="T169" s="74">
        <f>T170+T178+T205++T217</f>
        <v>41276517.18</v>
      </c>
      <c r="U169" s="56">
        <f t="shared" si="8"/>
        <v>54</v>
      </c>
    </row>
    <row r="170" spans="1:21" ht="17.25" customHeight="1">
      <c r="A170" s="20" t="s">
        <v>149</v>
      </c>
      <c r="B170" s="45">
        <v>901</v>
      </c>
      <c r="C170" s="45" t="s">
        <v>105</v>
      </c>
      <c r="D170" s="45"/>
      <c r="E170" s="45"/>
      <c r="F170" s="45"/>
      <c r="G170" s="60">
        <f>G171</f>
        <v>2603610</v>
      </c>
      <c r="H170" s="112"/>
      <c r="I170" s="60">
        <f>I171</f>
        <v>2603610</v>
      </c>
      <c r="J170" s="112"/>
      <c r="K170" s="74">
        <f>K171</f>
        <v>2603610</v>
      </c>
      <c r="L170" s="112"/>
      <c r="M170" s="74">
        <f>M171</f>
        <v>2603610</v>
      </c>
      <c r="N170" s="113"/>
      <c r="O170" s="74">
        <f>O171</f>
        <v>1031915.6799999999</v>
      </c>
      <c r="P170" s="113"/>
      <c r="Q170" s="74">
        <f>Q171</f>
        <v>1031915.6799999999</v>
      </c>
      <c r="R170" s="113"/>
      <c r="S170" s="74">
        <f>S171</f>
        <v>783580.83</v>
      </c>
      <c r="T170" s="74">
        <f>T171</f>
        <v>783514.75</v>
      </c>
      <c r="U170" s="56">
        <f t="shared" si="8"/>
        <v>100</v>
      </c>
    </row>
    <row r="171" spans="1:21" ht="99" customHeight="1">
      <c r="A171" s="13" t="s">
        <v>231</v>
      </c>
      <c r="B171" s="47" t="s">
        <v>114</v>
      </c>
      <c r="C171" s="47" t="s">
        <v>105</v>
      </c>
      <c r="D171" s="47" t="s">
        <v>94</v>
      </c>
      <c r="E171" s="47" t="s">
        <v>368</v>
      </c>
      <c r="F171" s="47"/>
      <c r="G171" s="60">
        <f>G172</f>
        <v>2603610</v>
      </c>
      <c r="H171" s="112"/>
      <c r="I171" s="60">
        <f>I172</f>
        <v>2603610</v>
      </c>
      <c r="J171" s="112"/>
      <c r="K171" s="74">
        <f>K172</f>
        <v>2603610</v>
      </c>
      <c r="L171" s="112"/>
      <c r="M171" s="74">
        <f>M172</f>
        <v>2603610</v>
      </c>
      <c r="N171" s="113"/>
      <c r="O171" s="74">
        <f>O172</f>
        <v>1031915.6799999999</v>
      </c>
      <c r="P171" s="113"/>
      <c r="Q171" s="74">
        <f>Q172</f>
        <v>1031915.6799999999</v>
      </c>
      <c r="R171" s="113"/>
      <c r="S171" s="74">
        <f>S172</f>
        <v>783580.83</v>
      </c>
      <c r="T171" s="74">
        <f>T172</f>
        <v>783514.75</v>
      </c>
      <c r="U171" s="56">
        <f t="shared" si="8"/>
        <v>100</v>
      </c>
    </row>
    <row r="172" spans="1:21" ht="48" customHeight="1">
      <c r="A172" s="20" t="s">
        <v>293</v>
      </c>
      <c r="B172" s="45" t="s">
        <v>114</v>
      </c>
      <c r="C172" s="45" t="s">
        <v>105</v>
      </c>
      <c r="D172" s="50" t="s">
        <v>95</v>
      </c>
      <c r="E172" s="50" t="s">
        <v>252</v>
      </c>
      <c r="F172" s="45"/>
      <c r="G172" s="60">
        <f>G173+G176</f>
        <v>2603610</v>
      </c>
      <c r="H172" s="112"/>
      <c r="I172" s="60">
        <f>I173+I176</f>
        <v>2603610</v>
      </c>
      <c r="J172" s="112"/>
      <c r="K172" s="74">
        <f>K173+K176</f>
        <v>2603610</v>
      </c>
      <c r="L172" s="112"/>
      <c r="M172" s="74">
        <f>M173+M176</f>
        <v>2603610</v>
      </c>
      <c r="N172" s="113"/>
      <c r="O172" s="74">
        <f>O173+O176</f>
        <v>1031915.6799999999</v>
      </c>
      <c r="P172" s="113"/>
      <c r="Q172" s="74">
        <f>Q173+Q176</f>
        <v>1031915.6799999999</v>
      </c>
      <c r="R172" s="113"/>
      <c r="S172" s="74">
        <f>S173+S176</f>
        <v>783580.83</v>
      </c>
      <c r="T172" s="74">
        <f>T173+T176</f>
        <v>783514.75</v>
      </c>
      <c r="U172" s="56">
        <f t="shared" si="8"/>
        <v>100</v>
      </c>
    </row>
    <row r="173" spans="1:21" ht="63" customHeight="1">
      <c r="A173" s="20" t="s">
        <v>292</v>
      </c>
      <c r="B173" s="45" t="s">
        <v>114</v>
      </c>
      <c r="C173" s="45" t="s">
        <v>105</v>
      </c>
      <c r="D173" s="45" t="s">
        <v>233</v>
      </c>
      <c r="E173" s="45" t="s">
        <v>253</v>
      </c>
      <c r="F173" s="45"/>
      <c r="G173" s="60">
        <f>G174</f>
        <v>1800000</v>
      </c>
      <c r="H173" s="112"/>
      <c r="I173" s="60">
        <f>I174</f>
        <v>1800000</v>
      </c>
      <c r="J173" s="112"/>
      <c r="K173" s="74">
        <f>K174</f>
        <v>1800000</v>
      </c>
      <c r="L173" s="112"/>
      <c r="M173" s="74">
        <f>M174+M175</f>
        <v>1800000</v>
      </c>
      <c r="N173" s="113"/>
      <c r="O173" s="74">
        <f>O174+O175</f>
        <v>228305.67999999993</v>
      </c>
      <c r="P173" s="113"/>
      <c r="Q173" s="74">
        <f>Q174+Q175</f>
        <v>350036.6499999999</v>
      </c>
      <c r="R173" s="113"/>
      <c r="S173" s="74">
        <f>S174+S175</f>
        <v>150036.6499999999</v>
      </c>
      <c r="T173" s="74">
        <f>T174+T175</f>
        <v>150036.65</v>
      </c>
      <c r="U173" s="56">
        <f t="shared" si="8"/>
        <v>100</v>
      </c>
    </row>
    <row r="174" spans="1:21" ht="31.5" customHeight="1">
      <c r="A174" s="9" t="s">
        <v>36</v>
      </c>
      <c r="B174" s="45" t="s">
        <v>114</v>
      </c>
      <c r="C174" s="45" t="s">
        <v>105</v>
      </c>
      <c r="D174" s="45" t="s">
        <v>233</v>
      </c>
      <c r="E174" s="45" t="s">
        <v>253</v>
      </c>
      <c r="F174" s="45" t="s">
        <v>59</v>
      </c>
      <c r="G174" s="74">
        <v>1800000</v>
      </c>
      <c r="H174" s="112"/>
      <c r="I174" s="74">
        <f>G174+H174</f>
        <v>1800000</v>
      </c>
      <c r="J174" s="112"/>
      <c r="K174" s="74">
        <f>I174+J174</f>
        <v>1800000</v>
      </c>
      <c r="L174" s="112">
        <v>-1571694.32</v>
      </c>
      <c r="M174" s="74">
        <f>K174+L174</f>
        <v>228305.67999999993</v>
      </c>
      <c r="N174" s="113"/>
      <c r="O174" s="74">
        <f>M174+N174</f>
        <v>228305.67999999993</v>
      </c>
      <c r="P174" s="113">
        <v>121730.97</v>
      </c>
      <c r="Q174" s="74">
        <f>O174+P174</f>
        <v>350036.6499999999</v>
      </c>
      <c r="R174" s="113">
        <v>-200000</v>
      </c>
      <c r="S174" s="74">
        <f>Q174+R174</f>
        <v>150036.6499999999</v>
      </c>
      <c r="T174" s="74">
        <v>150036.65</v>
      </c>
      <c r="U174" s="56">
        <f t="shared" si="8"/>
        <v>100</v>
      </c>
    </row>
    <row r="175" spans="1:21" ht="21" customHeight="1" hidden="1">
      <c r="A175" s="9" t="s">
        <v>37</v>
      </c>
      <c r="B175" s="45" t="s">
        <v>114</v>
      </c>
      <c r="C175" s="45" t="s">
        <v>105</v>
      </c>
      <c r="D175" s="45" t="s">
        <v>233</v>
      </c>
      <c r="E175" s="45" t="s">
        <v>253</v>
      </c>
      <c r="F175" s="45" t="s">
        <v>71</v>
      </c>
      <c r="G175" s="74"/>
      <c r="H175" s="112"/>
      <c r="I175" s="74"/>
      <c r="J175" s="112"/>
      <c r="K175" s="74"/>
      <c r="L175" s="112">
        <v>1571694.32</v>
      </c>
      <c r="M175" s="74">
        <f>K175+L175</f>
        <v>1571694.32</v>
      </c>
      <c r="N175" s="113">
        <v>-1571694.32</v>
      </c>
      <c r="O175" s="74">
        <f>M175+N175</f>
        <v>0</v>
      </c>
      <c r="P175" s="113"/>
      <c r="Q175" s="74">
        <f>O175+P175</f>
        <v>0</v>
      </c>
      <c r="R175" s="113"/>
      <c r="S175" s="74">
        <f>Q175+R175</f>
        <v>0</v>
      </c>
      <c r="T175" s="74">
        <f>R175+S175</f>
        <v>0</v>
      </c>
      <c r="U175" s="56" t="str">
        <f t="shared" si="8"/>
        <v>-</v>
      </c>
    </row>
    <row r="176" spans="1:21" ht="30.75" customHeight="1">
      <c r="A176" s="20" t="s">
        <v>234</v>
      </c>
      <c r="B176" s="45" t="s">
        <v>114</v>
      </c>
      <c r="C176" s="45" t="s">
        <v>105</v>
      </c>
      <c r="D176" s="95" t="s">
        <v>232</v>
      </c>
      <c r="E176" s="46" t="s">
        <v>254</v>
      </c>
      <c r="F176" s="45"/>
      <c r="G176" s="60">
        <f>G177</f>
        <v>803610</v>
      </c>
      <c r="H176" s="112"/>
      <c r="I176" s="60">
        <f>I177</f>
        <v>803610</v>
      </c>
      <c r="J176" s="112"/>
      <c r="K176" s="74">
        <f>K177</f>
        <v>803610</v>
      </c>
      <c r="L176" s="112"/>
      <c r="M176" s="74">
        <f>M177</f>
        <v>803610</v>
      </c>
      <c r="N176" s="113"/>
      <c r="O176" s="74">
        <f>O177</f>
        <v>803610</v>
      </c>
      <c r="P176" s="113"/>
      <c r="Q176" s="74">
        <f>Q177</f>
        <v>681879.03</v>
      </c>
      <c r="R176" s="113"/>
      <c r="S176" s="74">
        <f>S177</f>
        <v>633544.18</v>
      </c>
      <c r="T176" s="74">
        <f>T177</f>
        <v>633478.1</v>
      </c>
      <c r="U176" s="56">
        <f t="shared" si="8"/>
        <v>100</v>
      </c>
    </row>
    <row r="177" spans="1:21" ht="30.75" customHeight="1">
      <c r="A177" s="9" t="s">
        <v>36</v>
      </c>
      <c r="B177" s="45" t="s">
        <v>114</v>
      </c>
      <c r="C177" s="45" t="s">
        <v>105</v>
      </c>
      <c r="D177" s="95" t="s">
        <v>232</v>
      </c>
      <c r="E177" s="46" t="s">
        <v>254</v>
      </c>
      <c r="F177" s="45" t="s">
        <v>59</v>
      </c>
      <c r="G177" s="60">
        <v>803610</v>
      </c>
      <c r="H177" s="112"/>
      <c r="I177" s="60">
        <f>G177+H177</f>
        <v>803610</v>
      </c>
      <c r="J177" s="112"/>
      <c r="K177" s="74">
        <f>I177+J177</f>
        <v>803610</v>
      </c>
      <c r="L177" s="112"/>
      <c r="M177" s="74">
        <f>K177+L177</f>
        <v>803610</v>
      </c>
      <c r="N177" s="113"/>
      <c r="O177" s="74">
        <f>M177+N177</f>
        <v>803610</v>
      </c>
      <c r="P177" s="113">
        <f>-109479.26-12251.71</f>
        <v>-121730.97</v>
      </c>
      <c r="Q177" s="74">
        <f>O177+P177</f>
        <v>681879.03</v>
      </c>
      <c r="R177" s="113">
        <v>-48334.85</v>
      </c>
      <c r="S177" s="74">
        <f>Q177+R177</f>
        <v>633544.18</v>
      </c>
      <c r="T177" s="74">
        <v>633478.1</v>
      </c>
      <c r="U177" s="56">
        <f t="shared" si="8"/>
        <v>100</v>
      </c>
    </row>
    <row r="178" spans="1:21" ht="20.25" customHeight="1">
      <c r="A178" s="11" t="s">
        <v>150</v>
      </c>
      <c r="B178" s="45" t="s">
        <v>114</v>
      </c>
      <c r="C178" s="45" t="s">
        <v>106</v>
      </c>
      <c r="D178" s="45"/>
      <c r="E178" s="45"/>
      <c r="F178" s="45"/>
      <c r="G178" s="60">
        <f>G179+G195</f>
        <v>26091090</v>
      </c>
      <c r="H178" s="112"/>
      <c r="I178" s="60">
        <f>I179+I195</f>
        <v>33478670</v>
      </c>
      <c r="J178" s="112"/>
      <c r="K178" s="74">
        <f>K179+K195</f>
        <v>41204670</v>
      </c>
      <c r="L178" s="112"/>
      <c r="M178" s="74">
        <f>M179+M195</f>
        <v>40985070</v>
      </c>
      <c r="N178" s="113"/>
      <c r="O178" s="74">
        <f>O179+O195</f>
        <v>40773697</v>
      </c>
      <c r="P178" s="113"/>
      <c r="Q178" s="74">
        <f>Q179+Q195</f>
        <v>40641696.68</v>
      </c>
      <c r="R178" s="113"/>
      <c r="S178" s="74">
        <f>S179+S195</f>
        <v>63745908.370000005</v>
      </c>
      <c r="T178" s="74">
        <f>T179+T195</f>
        <v>29241839.630000003</v>
      </c>
      <c r="U178" s="56">
        <f t="shared" si="8"/>
        <v>45.9</v>
      </c>
    </row>
    <row r="179" spans="1:21" ht="97.5" customHeight="1">
      <c r="A179" s="13" t="s">
        <v>231</v>
      </c>
      <c r="B179" s="45" t="s">
        <v>114</v>
      </c>
      <c r="C179" s="45" t="s">
        <v>106</v>
      </c>
      <c r="D179" s="45" t="s">
        <v>94</v>
      </c>
      <c r="E179" s="45" t="s">
        <v>368</v>
      </c>
      <c r="F179" s="45"/>
      <c r="G179" s="60">
        <f>G180+G185</f>
        <v>8260200</v>
      </c>
      <c r="H179" s="112"/>
      <c r="I179" s="60">
        <f>I180+I185</f>
        <v>8260200</v>
      </c>
      <c r="J179" s="112"/>
      <c r="K179" s="74">
        <f>K180+K185</f>
        <v>15986200</v>
      </c>
      <c r="L179" s="112"/>
      <c r="M179" s="74">
        <f>M180+M185</f>
        <v>15916600</v>
      </c>
      <c r="N179" s="113"/>
      <c r="O179" s="74">
        <f>O180+O185</f>
        <v>15705227</v>
      </c>
      <c r="P179" s="113"/>
      <c r="Q179" s="74">
        <f>Q180+Q185</f>
        <v>15573226.68</v>
      </c>
      <c r="R179" s="113"/>
      <c r="S179" s="74">
        <f>S180+S185</f>
        <v>15527438.370000001</v>
      </c>
      <c r="T179" s="74">
        <f>T180+T185</f>
        <v>14010265.96</v>
      </c>
      <c r="U179" s="56">
        <f t="shared" si="8"/>
        <v>90.2</v>
      </c>
    </row>
    <row r="180" spans="1:21" ht="61.5" customHeight="1">
      <c r="A180" s="35" t="s">
        <v>294</v>
      </c>
      <c r="B180" s="47" t="s">
        <v>114</v>
      </c>
      <c r="C180" s="47" t="s">
        <v>106</v>
      </c>
      <c r="D180" s="47" t="s">
        <v>325</v>
      </c>
      <c r="E180" s="47" t="s">
        <v>255</v>
      </c>
      <c r="F180" s="47"/>
      <c r="G180" s="61">
        <f>G181</f>
        <v>4177800</v>
      </c>
      <c r="H180" s="112"/>
      <c r="I180" s="61">
        <f>I181+I183</f>
        <v>4177800</v>
      </c>
      <c r="J180" s="112"/>
      <c r="K180" s="75">
        <f>K181+K183</f>
        <v>4177800</v>
      </c>
      <c r="L180" s="112"/>
      <c r="M180" s="75">
        <f>M181+M183</f>
        <v>4496301.68</v>
      </c>
      <c r="N180" s="113"/>
      <c r="O180" s="75">
        <f>O181+O183</f>
        <v>6500819.680000001</v>
      </c>
      <c r="P180" s="113"/>
      <c r="Q180" s="75">
        <f>Q181+Q183</f>
        <v>6700819.680000001</v>
      </c>
      <c r="R180" s="113"/>
      <c r="S180" s="75">
        <f>S181+S183</f>
        <v>6697731.370000001</v>
      </c>
      <c r="T180" s="75">
        <f>T181+T183</f>
        <v>5896258.49</v>
      </c>
      <c r="U180" s="56">
        <f t="shared" si="8"/>
        <v>88</v>
      </c>
    </row>
    <row r="181" spans="1:21" ht="32.25" customHeight="1">
      <c r="A181" s="20" t="s">
        <v>295</v>
      </c>
      <c r="B181" s="47" t="s">
        <v>114</v>
      </c>
      <c r="C181" s="47" t="s">
        <v>106</v>
      </c>
      <c r="D181" s="47" t="s">
        <v>296</v>
      </c>
      <c r="E181" s="47" t="s">
        <v>256</v>
      </c>
      <c r="F181" s="47"/>
      <c r="G181" s="61">
        <f>G182</f>
        <v>4177800</v>
      </c>
      <c r="H181" s="112"/>
      <c r="I181" s="61">
        <f>I182</f>
        <v>2175902.37</v>
      </c>
      <c r="J181" s="112"/>
      <c r="K181" s="75">
        <f>K182</f>
        <v>2175902.37</v>
      </c>
      <c r="L181" s="112"/>
      <c r="M181" s="75">
        <f>M182</f>
        <v>2494404.0500000003</v>
      </c>
      <c r="N181" s="113"/>
      <c r="O181" s="75">
        <f>O182</f>
        <v>4498922.050000001</v>
      </c>
      <c r="P181" s="113"/>
      <c r="Q181" s="75">
        <f>Q182</f>
        <v>4498922.050000001</v>
      </c>
      <c r="R181" s="113"/>
      <c r="S181" s="75">
        <f>S182</f>
        <v>4495833.740000001</v>
      </c>
      <c r="T181" s="75">
        <f>T182</f>
        <v>4495833.74</v>
      </c>
      <c r="U181" s="56">
        <f t="shared" si="8"/>
        <v>100</v>
      </c>
    </row>
    <row r="182" spans="1:21" ht="84" customHeight="1">
      <c r="A182" s="14" t="s">
        <v>745</v>
      </c>
      <c r="B182" s="47" t="s">
        <v>114</v>
      </c>
      <c r="C182" s="47" t="s">
        <v>106</v>
      </c>
      <c r="D182" s="47" t="s">
        <v>296</v>
      </c>
      <c r="E182" s="47" t="s">
        <v>256</v>
      </c>
      <c r="F182" s="47" t="s">
        <v>216</v>
      </c>
      <c r="G182" s="74">
        <v>4177800</v>
      </c>
      <c r="H182" s="112">
        <v>-2001897.63</v>
      </c>
      <c r="I182" s="74">
        <f>G182+H182</f>
        <v>2175902.37</v>
      </c>
      <c r="J182" s="112"/>
      <c r="K182" s="74">
        <f>I182+J182</f>
        <v>2175902.37</v>
      </c>
      <c r="L182" s="112">
        <v>318501.68</v>
      </c>
      <c r="M182" s="74">
        <f>K182+L182</f>
        <v>2494404.0500000003</v>
      </c>
      <c r="N182" s="113">
        <v>2004518</v>
      </c>
      <c r="O182" s="74">
        <f>M182+N182</f>
        <v>4498922.050000001</v>
      </c>
      <c r="P182" s="113"/>
      <c r="Q182" s="74">
        <f>O182+P182</f>
        <v>4498922.050000001</v>
      </c>
      <c r="R182" s="113">
        <v>-3088.31</v>
      </c>
      <c r="S182" s="74">
        <f>Q182+R182</f>
        <v>4495833.740000001</v>
      </c>
      <c r="T182" s="74">
        <v>4495833.74</v>
      </c>
      <c r="U182" s="56">
        <f t="shared" si="8"/>
        <v>100</v>
      </c>
    </row>
    <row r="183" spans="1:21" ht="51" customHeight="1">
      <c r="A183" s="14" t="s">
        <v>6</v>
      </c>
      <c r="B183" s="47" t="s">
        <v>114</v>
      </c>
      <c r="C183" s="47" t="s">
        <v>106</v>
      </c>
      <c r="D183" s="47" t="s">
        <v>296</v>
      </c>
      <c r="E183" s="47" t="s">
        <v>5</v>
      </c>
      <c r="F183" s="47"/>
      <c r="G183" s="74"/>
      <c r="H183" s="112"/>
      <c r="I183" s="74">
        <f>I184</f>
        <v>2001897.63</v>
      </c>
      <c r="J183" s="112"/>
      <c r="K183" s="74">
        <f>K184</f>
        <v>2001897.63</v>
      </c>
      <c r="L183" s="112"/>
      <c r="M183" s="74">
        <f>M184</f>
        <v>2001897.63</v>
      </c>
      <c r="N183" s="113"/>
      <c r="O183" s="74">
        <f>O184</f>
        <v>2001897.63</v>
      </c>
      <c r="P183" s="113"/>
      <c r="Q183" s="74">
        <f>Q184</f>
        <v>2201897.63</v>
      </c>
      <c r="R183" s="113"/>
      <c r="S183" s="74">
        <f>S184</f>
        <v>2201897.63</v>
      </c>
      <c r="T183" s="74">
        <f>T184</f>
        <v>1400424.75</v>
      </c>
      <c r="U183" s="56">
        <f t="shared" si="8"/>
        <v>63.6</v>
      </c>
    </row>
    <row r="184" spans="1:21" ht="36" customHeight="1">
      <c r="A184" s="9" t="s">
        <v>36</v>
      </c>
      <c r="B184" s="47" t="s">
        <v>114</v>
      </c>
      <c r="C184" s="47" t="s">
        <v>106</v>
      </c>
      <c r="D184" s="47" t="s">
        <v>296</v>
      </c>
      <c r="E184" s="47" t="s">
        <v>5</v>
      </c>
      <c r="F184" s="47" t="s">
        <v>59</v>
      </c>
      <c r="G184" s="74"/>
      <c r="H184" s="112">
        <v>2001897.63</v>
      </c>
      <c r="I184" s="74">
        <f>G184+H184</f>
        <v>2001897.63</v>
      </c>
      <c r="J184" s="112"/>
      <c r="K184" s="74">
        <f>I184+J184</f>
        <v>2001897.63</v>
      </c>
      <c r="L184" s="112"/>
      <c r="M184" s="74">
        <f>K184+L184</f>
        <v>2001897.63</v>
      </c>
      <c r="N184" s="113"/>
      <c r="O184" s="74">
        <f>M184+N184</f>
        <v>2001897.63</v>
      </c>
      <c r="P184" s="113">
        <v>200000</v>
      </c>
      <c r="Q184" s="74">
        <f>O184+P184</f>
        <v>2201897.63</v>
      </c>
      <c r="R184" s="113"/>
      <c r="S184" s="74">
        <f>Q184+R184</f>
        <v>2201897.63</v>
      </c>
      <c r="T184" s="74">
        <v>1400424.75</v>
      </c>
      <c r="U184" s="56">
        <f t="shared" si="8"/>
        <v>63.6</v>
      </c>
    </row>
    <row r="185" spans="1:21" ht="62.25" customHeight="1">
      <c r="A185" s="13" t="s">
        <v>297</v>
      </c>
      <c r="B185" s="45" t="s">
        <v>114</v>
      </c>
      <c r="C185" s="45" t="s">
        <v>106</v>
      </c>
      <c r="D185" s="50" t="s">
        <v>96</v>
      </c>
      <c r="E185" s="50" t="s">
        <v>257</v>
      </c>
      <c r="F185" s="45"/>
      <c r="G185" s="60">
        <f>G186+G191+G193</f>
        <v>4082400</v>
      </c>
      <c r="H185" s="112"/>
      <c r="I185" s="60">
        <f>I186+I191+I193</f>
        <v>4082400</v>
      </c>
      <c r="J185" s="112"/>
      <c r="K185" s="74">
        <f>K186+K191+K193+K189</f>
        <v>11808400</v>
      </c>
      <c r="L185" s="113"/>
      <c r="M185" s="74">
        <f>M186+M191+M193+M189</f>
        <v>11420298.32</v>
      </c>
      <c r="N185" s="113"/>
      <c r="O185" s="74">
        <f>O186+O191+O193+O189</f>
        <v>9204407.32</v>
      </c>
      <c r="P185" s="113"/>
      <c r="Q185" s="74">
        <f>Q186+Q191+Q193+Q189</f>
        <v>8872407</v>
      </c>
      <c r="R185" s="113"/>
      <c r="S185" s="74">
        <f>S186+S191+S193+S189</f>
        <v>8829707</v>
      </c>
      <c r="T185" s="74">
        <f>T186+T191+T193+T189</f>
        <v>8114007.47</v>
      </c>
      <c r="U185" s="56">
        <f t="shared" si="8"/>
        <v>91.9</v>
      </c>
    </row>
    <row r="186" spans="1:21" ht="64.5" customHeight="1">
      <c r="A186" s="20" t="s">
        <v>298</v>
      </c>
      <c r="B186" s="45" t="s">
        <v>114</v>
      </c>
      <c r="C186" s="45" t="s">
        <v>106</v>
      </c>
      <c r="D186" s="45" t="s">
        <v>299</v>
      </c>
      <c r="E186" s="45" t="s">
        <v>258</v>
      </c>
      <c r="F186" s="45"/>
      <c r="G186" s="60">
        <f>G187</f>
        <v>1778800</v>
      </c>
      <c r="H186" s="112"/>
      <c r="I186" s="60">
        <f>I187</f>
        <v>1778800</v>
      </c>
      <c r="J186" s="112"/>
      <c r="K186" s="74">
        <f>K187</f>
        <v>1778800</v>
      </c>
      <c r="L186" s="112"/>
      <c r="M186" s="74">
        <f>M187+M188</f>
        <v>1460298.3199999998</v>
      </c>
      <c r="N186" s="113"/>
      <c r="O186" s="74">
        <f>O187+O188</f>
        <v>240000.31999999983</v>
      </c>
      <c r="P186" s="113"/>
      <c r="Q186" s="74">
        <f>Q187+Q188</f>
        <v>239999.99999999983</v>
      </c>
      <c r="R186" s="113"/>
      <c r="S186" s="74">
        <f>S187+S188</f>
        <v>239999.99999999983</v>
      </c>
      <c r="T186" s="74">
        <f>T187+T188</f>
        <v>239999.99999999983</v>
      </c>
      <c r="U186" s="56">
        <f t="shared" si="8"/>
        <v>100</v>
      </c>
    </row>
    <row r="187" spans="1:21" ht="34.5" customHeight="1">
      <c r="A187" s="9" t="s">
        <v>36</v>
      </c>
      <c r="B187" s="45" t="s">
        <v>114</v>
      </c>
      <c r="C187" s="45" t="s">
        <v>106</v>
      </c>
      <c r="D187" s="45" t="s">
        <v>299</v>
      </c>
      <c r="E187" s="45" t="s">
        <v>258</v>
      </c>
      <c r="F187" s="45" t="s">
        <v>59</v>
      </c>
      <c r="G187" s="74">
        <v>1778800</v>
      </c>
      <c r="H187" s="112"/>
      <c r="I187" s="74">
        <f>G187+H187</f>
        <v>1778800</v>
      </c>
      <c r="J187" s="112"/>
      <c r="K187" s="74">
        <f>I187+J187</f>
        <v>1778800</v>
      </c>
      <c r="L187" s="112">
        <v>-558501.68</v>
      </c>
      <c r="M187" s="74">
        <f>K187+L187</f>
        <v>1220298.3199999998</v>
      </c>
      <c r="N187" s="113">
        <v>-1220298</v>
      </c>
      <c r="O187" s="74">
        <f>M187+N187</f>
        <v>0.31999999983236194</v>
      </c>
      <c r="P187" s="113">
        <v>-0.32</v>
      </c>
      <c r="Q187" s="74">
        <f>O187+P187</f>
        <v>-1.6763807009212428E-10</v>
      </c>
      <c r="R187" s="113"/>
      <c r="S187" s="74">
        <f>Q187+R187</f>
        <v>-1.6763807009212428E-10</v>
      </c>
      <c r="T187" s="74">
        <f>R187+S187</f>
        <v>-1.6763807009212428E-10</v>
      </c>
      <c r="U187" s="56">
        <f t="shared" si="8"/>
        <v>100</v>
      </c>
    </row>
    <row r="188" spans="1:21" ht="19.5" customHeight="1">
      <c r="A188" s="9" t="s">
        <v>37</v>
      </c>
      <c r="B188" s="45" t="s">
        <v>114</v>
      </c>
      <c r="C188" s="45" t="s">
        <v>106</v>
      </c>
      <c r="D188" s="45" t="s">
        <v>299</v>
      </c>
      <c r="E188" s="45" t="s">
        <v>258</v>
      </c>
      <c r="F188" s="45" t="s">
        <v>71</v>
      </c>
      <c r="G188" s="74"/>
      <c r="H188" s="112"/>
      <c r="I188" s="74"/>
      <c r="J188" s="112"/>
      <c r="K188" s="74"/>
      <c r="L188" s="112">
        <v>240000</v>
      </c>
      <c r="M188" s="74">
        <f>K188+L188</f>
        <v>240000</v>
      </c>
      <c r="N188" s="113"/>
      <c r="O188" s="74">
        <f>M188+N188</f>
        <v>240000</v>
      </c>
      <c r="P188" s="113"/>
      <c r="Q188" s="74">
        <f>O188+P188</f>
        <v>240000</v>
      </c>
      <c r="R188" s="113"/>
      <c r="S188" s="74">
        <f>Q188+R188</f>
        <v>240000</v>
      </c>
      <c r="T188" s="74">
        <f>R188+S188</f>
        <v>240000</v>
      </c>
      <c r="U188" s="56">
        <f t="shared" si="8"/>
        <v>100</v>
      </c>
    </row>
    <row r="189" spans="1:21" ht="75.75" customHeight="1">
      <c r="A189" s="20" t="s">
        <v>24</v>
      </c>
      <c r="B189" s="45" t="s">
        <v>114</v>
      </c>
      <c r="C189" s="45" t="s">
        <v>106</v>
      </c>
      <c r="D189" s="45"/>
      <c r="E189" s="45" t="s">
        <v>25</v>
      </c>
      <c r="F189" s="45"/>
      <c r="G189" s="74"/>
      <c r="H189" s="112"/>
      <c r="I189" s="74"/>
      <c r="J189" s="112"/>
      <c r="K189" s="74">
        <f>K190</f>
        <v>7760000</v>
      </c>
      <c r="L189" s="112"/>
      <c r="M189" s="74">
        <f>M190</f>
        <v>7760000</v>
      </c>
      <c r="N189" s="113"/>
      <c r="O189" s="74">
        <f>O190</f>
        <v>7760000</v>
      </c>
      <c r="P189" s="113"/>
      <c r="Q189" s="74">
        <f>Q190</f>
        <v>7760000</v>
      </c>
      <c r="R189" s="113"/>
      <c r="S189" s="74">
        <f>S190</f>
        <v>7717300</v>
      </c>
      <c r="T189" s="74">
        <f>T190</f>
        <v>7717280</v>
      </c>
      <c r="U189" s="56">
        <f t="shared" si="8"/>
        <v>100</v>
      </c>
    </row>
    <row r="190" spans="1:21" ht="20.25" customHeight="1">
      <c r="A190" s="9" t="s">
        <v>37</v>
      </c>
      <c r="B190" s="45" t="s">
        <v>114</v>
      </c>
      <c r="C190" s="45" t="s">
        <v>106</v>
      </c>
      <c r="D190" s="45"/>
      <c r="E190" s="45" t="s">
        <v>25</v>
      </c>
      <c r="F190" s="45" t="s">
        <v>71</v>
      </c>
      <c r="G190" s="74"/>
      <c r="H190" s="112"/>
      <c r="I190" s="74"/>
      <c r="J190" s="112">
        <v>7760000</v>
      </c>
      <c r="K190" s="74">
        <f>I190+J190</f>
        <v>7760000</v>
      </c>
      <c r="L190" s="112"/>
      <c r="M190" s="74">
        <f>K190+L190</f>
        <v>7760000</v>
      </c>
      <c r="N190" s="113"/>
      <c r="O190" s="74">
        <f>M190+N190</f>
        <v>7760000</v>
      </c>
      <c r="P190" s="113"/>
      <c r="Q190" s="74">
        <f>O190+P190</f>
        <v>7760000</v>
      </c>
      <c r="R190" s="113">
        <v>-42700</v>
      </c>
      <c r="S190" s="74">
        <f>Q190+R190</f>
        <v>7717300</v>
      </c>
      <c r="T190" s="74">
        <v>7717280</v>
      </c>
      <c r="U190" s="56">
        <f t="shared" si="8"/>
        <v>100</v>
      </c>
    </row>
    <row r="191" spans="1:21" ht="20.25" customHeight="1">
      <c r="A191" s="20" t="s">
        <v>300</v>
      </c>
      <c r="B191" s="45" t="s">
        <v>114</v>
      </c>
      <c r="C191" s="45" t="s">
        <v>106</v>
      </c>
      <c r="D191" s="45" t="s">
        <v>307</v>
      </c>
      <c r="E191" s="45" t="s">
        <v>259</v>
      </c>
      <c r="F191" s="45"/>
      <c r="G191" s="60">
        <f>G192</f>
        <v>2103600</v>
      </c>
      <c r="H191" s="112"/>
      <c r="I191" s="60">
        <f>I192</f>
        <v>2103600</v>
      </c>
      <c r="J191" s="112"/>
      <c r="K191" s="74">
        <f>K192</f>
        <v>2069600</v>
      </c>
      <c r="L191" s="112"/>
      <c r="M191" s="74">
        <f>M192</f>
        <v>2000000</v>
      </c>
      <c r="N191" s="113"/>
      <c r="O191" s="74">
        <f>O192</f>
        <v>1004407</v>
      </c>
      <c r="P191" s="113"/>
      <c r="Q191" s="74">
        <f>Q192</f>
        <v>872407</v>
      </c>
      <c r="R191" s="113"/>
      <c r="S191" s="74">
        <f>S192</f>
        <v>872407</v>
      </c>
      <c r="T191" s="74">
        <f>T192</f>
        <v>156727.47</v>
      </c>
      <c r="U191" s="56">
        <f t="shared" si="8"/>
        <v>18</v>
      </c>
    </row>
    <row r="192" spans="1:21" ht="28.5" customHeight="1">
      <c r="A192" s="9" t="s">
        <v>36</v>
      </c>
      <c r="B192" s="45" t="s">
        <v>114</v>
      </c>
      <c r="C192" s="45" t="s">
        <v>106</v>
      </c>
      <c r="D192" s="45" t="s">
        <v>307</v>
      </c>
      <c r="E192" s="45" t="s">
        <v>259</v>
      </c>
      <c r="F192" s="45" t="s">
        <v>59</v>
      </c>
      <c r="G192" s="74">
        <v>2103600</v>
      </c>
      <c r="H192" s="112"/>
      <c r="I192" s="74">
        <f>G192+H192</f>
        <v>2103600</v>
      </c>
      <c r="J192" s="112">
        <v>-34000</v>
      </c>
      <c r="K192" s="74">
        <f>I192+J192</f>
        <v>2069600</v>
      </c>
      <c r="L192" s="112">
        <v>-69600</v>
      </c>
      <c r="M192" s="74">
        <f>K192+L192</f>
        <v>2000000</v>
      </c>
      <c r="N192" s="113">
        <v>-995593</v>
      </c>
      <c r="O192" s="74">
        <f>M192+N192</f>
        <v>1004407</v>
      </c>
      <c r="P192" s="113">
        <v>-132000</v>
      </c>
      <c r="Q192" s="74">
        <f>O192+P192</f>
        <v>872407</v>
      </c>
      <c r="R192" s="113"/>
      <c r="S192" s="74">
        <f>Q192+R192</f>
        <v>872407</v>
      </c>
      <c r="T192" s="74">
        <v>156727.47</v>
      </c>
      <c r="U192" s="56">
        <f t="shared" si="8"/>
        <v>18</v>
      </c>
    </row>
    <row r="193" spans="1:21" ht="21" customHeight="1" hidden="1">
      <c r="A193" s="20" t="s">
        <v>309</v>
      </c>
      <c r="B193" s="45" t="s">
        <v>114</v>
      </c>
      <c r="C193" s="45" t="s">
        <v>106</v>
      </c>
      <c r="D193" s="45" t="s">
        <v>308</v>
      </c>
      <c r="E193" s="45" t="s">
        <v>260</v>
      </c>
      <c r="F193" s="45"/>
      <c r="G193" s="60">
        <f>G194</f>
        <v>200000</v>
      </c>
      <c r="H193" s="112"/>
      <c r="I193" s="60">
        <f>I194</f>
        <v>200000</v>
      </c>
      <c r="J193" s="112"/>
      <c r="K193" s="74">
        <f>K194</f>
        <v>200000</v>
      </c>
      <c r="L193" s="112"/>
      <c r="M193" s="74">
        <f>M194</f>
        <v>200000</v>
      </c>
      <c r="N193" s="113"/>
      <c r="O193" s="74">
        <f>O194</f>
        <v>200000</v>
      </c>
      <c r="P193" s="113"/>
      <c r="Q193" s="74">
        <f>Q194</f>
        <v>0</v>
      </c>
      <c r="R193" s="113"/>
      <c r="S193" s="74">
        <f>S194</f>
        <v>0</v>
      </c>
      <c r="T193" s="74">
        <f>T194</f>
        <v>0</v>
      </c>
      <c r="U193" s="56" t="str">
        <f t="shared" si="8"/>
        <v>-</v>
      </c>
    </row>
    <row r="194" spans="1:21" ht="33.75" customHeight="1" hidden="1">
      <c r="A194" s="9" t="s">
        <v>36</v>
      </c>
      <c r="B194" s="45" t="s">
        <v>114</v>
      </c>
      <c r="C194" s="45" t="s">
        <v>106</v>
      </c>
      <c r="D194" s="45" t="s">
        <v>308</v>
      </c>
      <c r="E194" s="45" t="s">
        <v>260</v>
      </c>
      <c r="F194" s="45" t="s">
        <v>59</v>
      </c>
      <c r="G194" s="74">
        <v>200000</v>
      </c>
      <c r="H194" s="112"/>
      <c r="I194" s="74">
        <f>G194+H194</f>
        <v>200000</v>
      </c>
      <c r="J194" s="112"/>
      <c r="K194" s="74">
        <f>I194+J194</f>
        <v>200000</v>
      </c>
      <c r="L194" s="112"/>
      <c r="M194" s="74">
        <f>K194+L194</f>
        <v>200000</v>
      </c>
      <c r="N194" s="113"/>
      <c r="O194" s="74">
        <f>M194+N194</f>
        <v>200000</v>
      </c>
      <c r="P194" s="113">
        <v>-200000</v>
      </c>
      <c r="Q194" s="74">
        <f>O194+P194</f>
        <v>0</v>
      </c>
      <c r="R194" s="113"/>
      <c r="S194" s="74">
        <f>Q194+R194</f>
        <v>0</v>
      </c>
      <c r="T194" s="74">
        <f>R194+S194</f>
        <v>0</v>
      </c>
      <c r="U194" s="56" t="str">
        <f t="shared" si="8"/>
        <v>-</v>
      </c>
    </row>
    <row r="195" spans="1:21" ht="80.25" customHeight="1">
      <c r="A195" s="43" t="s">
        <v>685</v>
      </c>
      <c r="B195" s="45" t="s">
        <v>114</v>
      </c>
      <c r="C195" s="45" t="s">
        <v>106</v>
      </c>
      <c r="D195" s="45" t="s">
        <v>335</v>
      </c>
      <c r="E195" s="45" t="s">
        <v>261</v>
      </c>
      <c r="F195" s="45"/>
      <c r="G195" s="60">
        <f>G196</f>
        <v>17830890</v>
      </c>
      <c r="H195" s="112"/>
      <c r="I195" s="60">
        <f>I196</f>
        <v>25218470</v>
      </c>
      <c r="J195" s="112"/>
      <c r="K195" s="74">
        <f>K196</f>
        <v>25218470</v>
      </c>
      <c r="L195" s="112"/>
      <c r="M195" s="74">
        <f>M196</f>
        <v>25068470</v>
      </c>
      <c r="N195" s="113"/>
      <c r="O195" s="74">
        <f>O196</f>
        <v>25068470</v>
      </c>
      <c r="P195" s="113"/>
      <c r="Q195" s="74">
        <f>Q196</f>
        <v>25068470</v>
      </c>
      <c r="R195" s="113"/>
      <c r="S195" s="74">
        <f>S196</f>
        <v>48218470</v>
      </c>
      <c r="T195" s="74">
        <f>T196</f>
        <v>15231573.67</v>
      </c>
      <c r="U195" s="56">
        <f t="shared" si="8"/>
        <v>31.6</v>
      </c>
    </row>
    <row r="196" spans="1:21" ht="36" customHeight="1">
      <c r="A196" s="9" t="s">
        <v>53</v>
      </c>
      <c r="B196" s="45" t="s">
        <v>114</v>
      </c>
      <c r="C196" s="45" t="s">
        <v>106</v>
      </c>
      <c r="D196" s="45" t="s">
        <v>336</v>
      </c>
      <c r="E196" s="45" t="s">
        <v>262</v>
      </c>
      <c r="F196" s="45"/>
      <c r="G196" s="60">
        <f>G197+G199</f>
        <v>17830890</v>
      </c>
      <c r="H196" s="112"/>
      <c r="I196" s="60">
        <f>I197+I199+I201</f>
        <v>25218470</v>
      </c>
      <c r="J196" s="112"/>
      <c r="K196" s="74">
        <f>K197+K199+K201+K203</f>
        <v>25218470</v>
      </c>
      <c r="L196" s="112"/>
      <c r="M196" s="74">
        <f>M197+M199+M201+M203</f>
        <v>25068470</v>
      </c>
      <c r="N196" s="113"/>
      <c r="O196" s="74">
        <f>O197+O199+O201+O203</f>
        <v>25068470</v>
      </c>
      <c r="P196" s="113"/>
      <c r="Q196" s="74">
        <f>Q197+Q199+Q201+Q203</f>
        <v>25068470</v>
      </c>
      <c r="R196" s="113"/>
      <c r="S196" s="74">
        <f>S197+S199+S201+S203</f>
        <v>48218470</v>
      </c>
      <c r="T196" s="74">
        <f>T197+T199+T201+T203</f>
        <v>15231573.67</v>
      </c>
      <c r="U196" s="56">
        <f t="shared" si="8"/>
        <v>31.6</v>
      </c>
    </row>
    <row r="197" spans="1:21" ht="50.25" customHeight="1">
      <c r="A197" s="9" t="s">
        <v>338</v>
      </c>
      <c r="B197" s="45" t="s">
        <v>114</v>
      </c>
      <c r="C197" s="45" t="s">
        <v>106</v>
      </c>
      <c r="D197" s="45" t="s">
        <v>337</v>
      </c>
      <c r="E197" s="45" t="s">
        <v>263</v>
      </c>
      <c r="F197" s="45"/>
      <c r="G197" s="60">
        <f>G198</f>
        <v>10800000</v>
      </c>
      <c r="H197" s="112"/>
      <c r="I197" s="60">
        <f>I198</f>
        <v>5411930</v>
      </c>
      <c r="J197" s="112"/>
      <c r="K197" s="74">
        <f>K198</f>
        <v>5411930</v>
      </c>
      <c r="L197" s="112"/>
      <c r="M197" s="74">
        <f>M198</f>
        <v>8482195.93</v>
      </c>
      <c r="N197" s="113"/>
      <c r="O197" s="74">
        <f>O198</f>
        <v>8482195.93</v>
      </c>
      <c r="P197" s="113"/>
      <c r="Q197" s="74">
        <f>Q198</f>
        <v>10848939.93</v>
      </c>
      <c r="R197" s="113"/>
      <c r="S197" s="74">
        <f>S198</f>
        <v>33998939.93</v>
      </c>
      <c r="T197" s="74">
        <f>T198</f>
        <v>3605235.84</v>
      </c>
      <c r="U197" s="56">
        <f t="shared" si="8"/>
        <v>10.6</v>
      </c>
    </row>
    <row r="198" spans="1:23" ht="21" customHeight="1">
      <c r="A198" s="9" t="s">
        <v>37</v>
      </c>
      <c r="B198" s="45" t="s">
        <v>114</v>
      </c>
      <c r="C198" s="45" t="s">
        <v>106</v>
      </c>
      <c r="D198" s="45" t="s">
        <v>337</v>
      </c>
      <c r="E198" s="45" t="s">
        <v>263</v>
      </c>
      <c r="F198" s="45" t="s">
        <v>71</v>
      </c>
      <c r="G198" s="74">
        <v>10800000</v>
      </c>
      <c r="H198" s="115">
        <v>-5388070</v>
      </c>
      <c r="I198" s="74">
        <f>G198+H198</f>
        <v>5411930</v>
      </c>
      <c r="J198" s="115"/>
      <c r="K198" s="74">
        <f>I198+J198</f>
        <v>5411930</v>
      </c>
      <c r="L198" s="115">
        <v>3070265.93</v>
      </c>
      <c r="M198" s="74">
        <f>K198+L198</f>
        <v>8482195.93</v>
      </c>
      <c r="N198" s="116"/>
      <c r="O198" s="74">
        <f>M198+N198</f>
        <v>8482195.93</v>
      </c>
      <c r="P198" s="116">
        <v>2366744</v>
      </c>
      <c r="Q198" s="74">
        <f>O198+P198</f>
        <v>10848939.93</v>
      </c>
      <c r="R198" s="116">
        <v>23150000</v>
      </c>
      <c r="S198" s="74">
        <f>Q198+R198</f>
        <v>33998939.93</v>
      </c>
      <c r="T198" s="74">
        <v>3605235.84</v>
      </c>
      <c r="U198" s="56">
        <f t="shared" si="8"/>
        <v>10.6</v>
      </c>
      <c r="V198" s="7"/>
      <c r="W198" s="7"/>
    </row>
    <row r="199" spans="1:21" ht="32.25" customHeight="1">
      <c r="A199" s="9" t="s">
        <v>340</v>
      </c>
      <c r="B199" s="45" t="s">
        <v>114</v>
      </c>
      <c r="C199" s="45" t="s">
        <v>106</v>
      </c>
      <c r="D199" s="45" t="s">
        <v>339</v>
      </c>
      <c r="E199" s="45" t="s">
        <v>264</v>
      </c>
      <c r="F199" s="45"/>
      <c r="G199" s="60">
        <f>G200</f>
        <v>7030890</v>
      </c>
      <c r="H199" s="112"/>
      <c r="I199" s="60">
        <f>I200</f>
        <v>12418960</v>
      </c>
      <c r="J199" s="112"/>
      <c r="K199" s="74">
        <f>K200</f>
        <v>12418960</v>
      </c>
      <c r="L199" s="112"/>
      <c r="M199" s="74">
        <f>M200</f>
        <v>9198694.07</v>
      </c>
      <c r="N199" s="113"/>
      <c r="O199" s="74">
        <f>O200</f>
        <v>9198694.07</v>
      </c>
      <c r="P199" s="113"/>
      <c r="Q199" s="74">
        <f>Q200</f>
        <v>6831950.07</v>
      </c>
      <c r="R199" s="113"/>
      <c r="S199" s="74">
        <f>S200</f>
        <v>6831950.07</v>
      </c>
      <c r="T199" s="74">
        <f>T200</f>
        <v>4238757.83</v>
      </c>
      <c r="U199" s="56">
        <f t="shared" si="8"/>
        <v>62</v>
      </c>
    </row>
    <row r="200" spans="1:21" ht="20.25" customHeight="1">
      <c r="A200" s="9" t="s">
        <v>37</v>
      </c>
      <c r="B200" s="45" t="s">
        <v>114</v>
      </c>
      <c r="C200" s="45" t="s">
        <v>106</v>
      </c>
      <c r="D200" s="45" t="s">
        <v>339</v>
      </c>
      <c r="E200" s="45" t="s">
        <v>264</v>
      </c>
      <c r="F200" s="45" t="s">
        <v>71</v>
      </c>
      <c r="G200" s="74">
        <v>7030890</v>
      </c>
      <c r="H200" s="112">
        <v>5388070</v>
      </c>
      <c r="I200" s="74">
        <f>G200+H200</f>
        <v>12418960</v>
      </c>
      <c r="J200" s="112"/>
      <c r="K200" s="74">
        <f>I200+J200</f>
        <v>12418960</v>
      </c>
      <c r="L200" s="112">
        <f>-3070265.93-150000</f>
        <v>-3220265.93</v>
      </c>
      <c r="M200" s="74">
        <f>K200+L200</f>
        <v>9198694.07</v>
      </c>
      <c r="N200" s="113"/>
      <c r="O200" s="74">
        <f>M200+N200</f>
        <v>9198694.07</v>
      </c>
      <c r="P200" s="113">
        <v>-2366744</v>
      </c>
      <c r="Q200" s="74">
        <f>O200+P200</f>
        <v>6831950.07</v>
      </c>
      <c r="R200" s="113"/>
      <c r="S200" s="74">
        <f>Q200+R200</f>
        <v>6831950.07</v>
      </c>
      <c r="T200" s="74">
        <v>4238757.83</v>
      </c>
      <c r="U200" s="56">
        <f t="shared" si="8"/>
        <v>62</v>
      </c>
    </row>
    <row r="201" spans="1:21" ht="50.25" customHeight="1">
      <c r="A201" s="9" t="s">
        <v>8</v>
      </c>
      <c r="B201" s="45" t="s">
        <v>114</v>
      </c>
      <c r="C201" s="45" t="s">
        <v>106</v>
      </c>
      <c r="D201" s="45" t="s">
        <v>339</v>
      </c>
      <c r="E201" s="45" t="s">
        <v>7</v>
      </c>
      <c r="F201" s="45"/>
      <c r="G201" s="74"/>
      <c r="H201" s="112"/>
      <c r="I201" s="74">
        <f>I202</f>
        <v>7387580</v>
      </c>
      <c r="J201" s="112"/>
      <c r="K201" s="74">
        <f>K202</f>
        <v>5325580</v>
      </c>
      <c r="L201" s="112"/>
      <c r="M201" s="74">
        <f>M202</f>
        <v>5325580</v>
      </c>
      <c r="N201" s="113"/>
      <c r="O201" s="74">
        <f>O202</f>
        <v>5325580</v>
      </c>
      <c r="P201" s="113"/>
      <c r="Q201" s="74">
        <f>Q202</f>
        <v>7387580</v>
      </c>
      <c r="R201" s="113"/>
      <c r="S201" s="74">
        <f>S202</f>
        <v>7387580</v>
      </c>
      <c r="T201" s="74">
        <f>T202</f>
        <v>7387580</v>
      </c>
      <c r="U201" s="56">
        <f t="shared" si="8"/>
        <v>100</v>
      </c>
    </row>
    <row r="202" spans="1:21" ht="20.25" customHeight="1">
      <c r="A202" s="9" t="s">
        <v>37</v>
      </c>
      <c r="B202" s="45" t="s">
        <v>114</v>
      </c>
      <c r="C202" s="45" t="s">
        <v>106</v>
      </c>
      <c r="D202" s="45" t="s">
        <v>339</v>
      </c>
      <c r="E202" s="45" t="s">
        <v>7</v>
      </c>
      <c r="F202" s="45" t="s">
        <v>71</v>
      </c>
      <c r="G202" s="74"/>
      <c r="H202" s="112">
        <v>7387580</v>
      </c>
      <c r="I202" s="74">
        <f>G202+H202</f>
        <v>7387580</v>
      </c>
      <c r="J202" s="112">
        <v>-2062000</v>
      </c>
      <c r="K202" s="74">
        <f>I202+J202</f>
        <v>5325580</v>
      </c>
      <c r="L202" s="112"/>
      <c r="M202" s="74">
        <f>K202+L202</f>
        <v>5325580</v>
      </c>
      <c r="N202" s="113"/>
      <c r="O202" s="74">
        <f>M202+N202</f>
        <v>5325580</v>
      </c>
      <c r="P202" s="113">
        <v>2062000</v>
      </c>
      <c r="Q202" s="74">
        <f>O202+P202</f>
        <v>7387580</v>
      </c>
      <c r="R202" s="113"/>
      <c r="S202" s="74">
        <f>Q202+R202</f>
        <v>7387580</v>
      </c>
      <c r="T202" s="74">
        <f>R202+S202</f>
        <v>7387580</v>
      </c>
      <c r="U202" s="56">
        <f t="shared" si="8"/>
        <v>100</v>
      </c>
    </row>
    <row r="203" spans="1:21" ht="0.75" customHeight="1">
      <c r="A203" s="9" t="s">
        <v>728</v>
      </c>
      <c r="B203" s="45" t="s">
        <v>114</v>
      </c>
      <c r="C203" s="45" t="s">
        <v>106</v>
      </c>
      <c r="D203" s="45" t="s">
        <v>339</v>
      </c>
      <c r="E203" s="45" t="s">
        <v>727</v>
      </c>
      <c r="F203" s="45"/>
      <c r="G203" s="74"/>
      <c r="H203" s="112"/>
      <c r="I203" s="74"/>
      <c r="J203" s="112"/>
      <c r="K203" s="74">
        <f>K204</f>
        <v>2062000</v>
      </c>
      <c r="L203" s="112"/>
      <c r="M203" s="74">
        <f>M204</f>
        <v>2062000</v>
      </c>
      <c r="N203" s="113"/>
      <c r="O203" s="74">
        <f>O204</f>
        <v>2062000</v>
      </c>
      <c r="P203" s="113"/>
      <c r="Q203" s="74">
        <f>Q204</f>
        <v>0</v>
      </c>
      <c r="R203" s="113"/>
      <c r="S203" s="74">
        <f>S204</f>
        <v>0</v>
      </c>
      <c r="T203" s="74">
        <f>T204</f>
        <v>0</v>
      </c>
      <c r="U203" s="56" t="str">
        <f t="shared" si="8"/>
        <v>-</v>
      </c>
    </row>
    <row r="204" spans="1:21" ht="20.25" customHeight="1" hidden="1">
      <c r="A204" s="9" t="s">
        <v>37</v>
      </c>
      <c r="B204" s="45" t="s">
        <v>114</v>
      </c>
      <c r="C204" s="45" t="s">
        <v>106</v>
      </c>
      <c r="D204" s="45" t="s">
        <v>339</v>
      </c>
      <c r="E204" s="45" t="s">
        <v>727</v>
      </c>
      <c r="F204" s="45" t="s">
        <v>71</v>
      </c>
      <c r="G204" s="74"/>
      <c r="H204" s="112"/>
      <c r="I204" s="74"/>
      <c r="J204" s="112">
        <v>2062000</v>
      </c>
      <c r="K204" s="74">
        <f>I204+J204</f>
        <v>2062000</v>
      </c>
      <c r="L204" s="112"/>
      <c r="M204" s="74">
        <f>K204+L204</f>
        <v>2062000</v>
      </c>
      <c r="N204" s="113"/>
      <c r="O204" s="74">
        <f>M204+N204</f>
        <v>2062000</v>
      </c>
      <c r="P204" s="113">
        <v>-2062000</v>
      </c>
      <c r="Q204" s="74">
        <f>O204+P204</f>
        <v>0</v>
      </c>
      <c r="R204" s="113"/>
      <c r="S204" s="74">
        <f>Q204+R204</f>
        <v>0</v>
      </c>
      <c r="T204" s="74">
        <f>R204+S204</f>
        <v>0</v>
      </c>
      <c r="U204" s="56" t="str">
        <f t="shared" si="8"/>
        <v>-</v>
      </c>
    </row>
    <row r="205" spans="1:21" ht="17.25" customHeight="1">
      <c r="A205" s="9" t="s">
        <v>116</v>
      </c>
      <c r="B205" s="45" t="s">
        <v>114</v>
      </c>
      <c r="C205" s="45" t="s">
        <v>115</v>
      </c>
      <c r="D205" s="45"/>
      <c r="E205" s="45"/>
      <c r="F205" s="45"/>
      <c r="G205" s="60">
        <f>G207</f>
        <v>11542680</v>
      </c>
      <c r="H205" s="112"/>
      <c r="I205" s="60">
        <f>I207</f>
        <v>11539480</v>
      </c>
      <c r="J205" s="112"/>
      <c r="K205" s="74">
        <f>K207</f>
        <v>11447080</v>
      </c>
      <c r="L205" s="112"/>
      <c r="M205" s="74">
        <f>M207</f>
        <v>11459080</v>
      </c>
      <c r="N205" s="113"/>
      <c r="O205" s="74">
        <f>O207</f>
        <v>11516273.18</v>
      </c>
      <c r="P205" s="113"/>
      <c r="Q205" s="74">
        <f>Q207</f>
        <v>11506385.18</v>
      </c>
      <c r="R205" s="113"/>
      <c r="S205" s="74">
        <f>S207</f>
        <v>11409777.24</v>
      </c>
      <c r="T205" s="74">
        <f>T207</f>
        <v>10813915.68</v>
      </c>
      <c r="U205" s="56">
        <f aca="true" t="shared" si="10" ref="U205:U268">IF(S205=0,"-",IF(T205/S205*100&gt;110,"свыше 100",ROUND((T205/S205*100),1)))</f>
        <v>94.8</v>
      </c>
    </row>
    <row r="206" spans="1:21" ht="99.75" customHeight="1">
      <c r="A206" s="13" t="s">
        <v>231</v>
      </c>
      <c r="B206" s="45" t="s">
        <v>114</v>
      </c>
      <c r="C206" s="45" t="s">
        <v>115</v>
      </c>
      <c r="D206" s="45" t="s">
        <v>94</v>
      </c>
      <c r="E206" s="45" t="s">
        <v>368</v>
      </c>
      <c r="F206" s="45"/>
      <c r="G206" s="60">
        <f>G207</f>
        <v>11542680</v>
      </c>
      <c r="H206" s="112"/>
      <c r="I206" s="60">
        <f>I207</f>
        <v>11539480</v>
      </c>
      <c r="J206" s="112"/>
      <c r="K206" s="74">
        <f>K207</f>
        <v>11447080</v>
      </c>
      <c r="L206" s="112"/>
      <c r="M206" s="74">
        <f>M207</f>
        <v>11459080</v>
      </c>
      <c r="N206" s="113"/>
      <c r="O206" s="74">
        <f>O207</f>
        <v>11516273.18</v>
      </c>
      <c r="P206" s="113"/>
      <c r="Q206" s="74">
        <f>Q207</f>
        <v>11506385.18</v>
      </c>
      <c r="R206" s="113"/>
      <c r="S206" s="74">
        <f>S207</f>
        <v>11409777.24</v>
      </c>
      <c r="T206" s="74">
        <f>T207</f>
        <v>10813915.68</v>
      </c>
      <c r="U206" s="56">
        <f t="shared" si="10"/>
        <v>94.8</v>
      </c>
    </row>
    <row r="207" spans="1:21" ht="50.25" customHeight="1">
      <c r="A207" s="20" t="s">
        <v>310</v>
      </c>
      <c r="B207" s="45" t="s">
        <v>114</v>
      </c>
      <c r="C207" s="45" t="s">
        <v>115</v>
      </c>
      <c r="D207" s="45" t="s">
        <v>326</v>
      </c>
      <c r="E207" s="45" t="s">
        <v>265</v>
      </c>
      <c r="F207" s="45"/>
      <c r="G207" s="60">
        <f>G208+G210+G212+G214</f>
        <v>11542680</v>
      </c>
      <c r="H207" s="112"/>
      <c r="I207" s="60">
        <f>I208+I210+I212+I214</f>
        <v>11539480</v>
      </c>
      <c r="J207" s="112"/>
      <c r="K207" s="74">
        <f>K208+K210+K212+K214</f>
        <v>11447080</v>
      </c>
      <c r="L207" s="113"/>
      <c r="M207" s="74">
        <f>M208+M210+M212+M214</f>
        <v>11459080</v>
      </c>
      <c r="N207" s="113"/>
      <c r="O207" s="74">
        <f>O208+O210+O212+O214</f>
        <v>11516273.18</v>
      </c>
      <c r="P207" s="113"/>
      <c r="Q207" s="74">
        <f>Q208+Q210+Q212+Q214</f>
        <v>11506385.18</v>
      </c>
      <c r="R207" s="113"/>
      <c r="S207" s="74">
        <f>S208+S210+S212+S214</f>
        <v>11409777.24</v>
      </c>
      <c r="T207" s="74">
        <f>T208+T210+T212+T214</f>
        <v>10813915.68</v>
      </c>
      <c r="U207" s="56">
        <f t="shared" si="10"/>
        <v>94.8</v>
      </c>
    </row>
    <row r="208" spans="1:21" ht="48" customHeight="1">
      <c r="A208" s="20" t="s">
        <v>311</v>
      </c>
      <c r="B208" s="45" t="s">
        <v>114</v>
      </c>
      <c r="C208" s="45" t="s">
        <v>115</v>
      </c>
      <c r="D208" s="45" t="s">
        <v>312</v>
      </c>
      <c r="E208" s="45" t="s">
        <v>266</v>
      </c>
      <c r="F208" s="45"/>
      <c r="G208" s="60">
        <f>G209</f>
        <v>7912680</v>
      </c>
      <c r="H208" s="112"/>
      <c r="I208" s="60">
        <f>I209</f>
        <v>7912680</v>
      </c>
      <c r="J208" s="112"/>
      <c r="K208" s="74">
        <f>K209</f>
        <v>7813680</v>
      </c>
      <c r="L208" s="112"/>
      <c r="M208" s="74">
        <f>M209</f>
        <v>7813680</v>
      </c>
      <c r="N208" s="113"/>
      <c r="O208" s="74">
        <f>O209</f>
        <v>7796370</v>
      </c>
      <c r="P208" s="113"/>
      <c r="Q208" s="74">
        <f>Q209</f>
        <v>7792370</v>
      </c>
      <c r="R208" s="113"/>
      <c r="S208" s="74">
        <f>S209</f>
        <v>7771952.07</v>
      </c>
      <c r="T208" s="74">
        <f>T209</f>
        <v>7247818.09</v>
      </c>
      <c r="U208" s="56">
        <f t="shared" si="10"/>
        <v>93.3</v>
      </c>
    </row>
    <row r="209" spans="1:21" ht="36" customHeight="1">
      <c r="A209" s="9" t="s">
        <v>36</v>
      </c>
      <c r="B209" s="45" t="s">
        <v>114</v>
      </c>
      <c r="C209" s="45" t="s">
        <v>115</v>
      </c>
      <c r="D209" s="45" t="s">
        <v>312</v>
      </c>
      <c r="E209" s="45" t="s">
        <v>266</v>
      </c>
      <c r="F209" s="45" t="s">
        <v>59</v>
      </c>
      <c r="G209" s="74">
        <v>7912680</v>
      </c>
      <c r="H209" s="112"/>
      <c r="I209" s="74">
        <f>G209+H209</f>
        <v>7912680</v>
      </c>
      <c r="J209" s="112">
        <v>-99000</v>
      </c>
      <c r="K209" s="74">
        <f>I209+J209</f>
        <v>7813680</v>
      </c>
      <c r="L209" s="112"/>
      <c r="M209" s="74">
        <f>K209+L209</f>
        <v>7813680</v>
      </c>
      <c r="N209" s="113">
        <v>-17310</v>
      </c>
      <c r="O209" s="74">
        <f>M209+N209</f>
        <v>7796370</v>
      </c>
      <c r="P209" s="113">
        <v>-4000</v>
      </c>
      <c r="Q209" s="74">
        <f>O209+P209</f>
        <v>7792370</v>
      </c>
      <c r="R209" s="136">
        <v>-20417.93</v>
      </c>
      <c r="S209" s="74">
        <f>Q209+R209</f>
        <v>7771952.07</v>
      </c>
      <c r="T209" s="74">
        <v>7247818.09</v>
      </c>
      <c r="U209" s="56">
        <f t="shared" si="10"/>
        <v>93.3</v>
      </c>
    </row>
    <row r="210" spans="1:21" ht="34.5" customHeight="1">
      <c r="A210" s="20" t="s">
        <v>313</v>
      </c>
      <c r="B210" s="45" t="s">
        <v>114</v>
      </c>
      <c r="C210" s="45" t="s">
        <v>115</v>
      </c>
      <c r="D210" s="45" t="s">
        <v>314</v>
      </c>
      <c r="E210" s="45" t="s">
        <v>267</v>
      </c>
      <c r="F210" s="45"/>
      <c r="G210" s="60">
        <f>G211</f>
        <v>400000</v>
      </c>
      <c r="H210" s="112"/>
      <c r="I210" s="60">
        <f>I211</f>
        <v>400000</v>
      </c>
      <c r="J210" s="112"/>
      <c r="K210" s="74">
        <f>K211</f>
        <v>392000</v>
      </c>
      <c r="L210" s="112"/>
      <c r="M210" s="74">
        <f>M211</f>
        <v>390836.04</v>
      </c>
      <c r="N210" s="113"/>
      <c r="O210" s="74">
        <f>O211</f>
        <v>390836.04</v>
      </c>
      <c r="P210" s="113"/>
      <c r="Q210" s="74">
        <f>Q211</f>
        <v>390836.04</v>
      </c>
      <c r="R210" s="113"/>
      <c r="S210" s="74">
        <f>S211</f>
        <v>341710.67</v>
      </c>
      <c r="T210" s="74">
        <f>T211</f>
        <v>341231.6</v>
      </c>
      <c r="U210" s="56">
        <f t="shared" si="10"/>
        <v>99.9</v>
      </c>
    </row>
    <row r="211" spans="1:21" ht="34.5" customHeight="1">
      <c r="A211" s="9" t="s">
        <v>36</v>
      </c>
      <c r="B211" s="45" t="s">
        <v>114</v>
      </c>
      <c r="C211" s="45" t="s">
        <v>115</v>
      </c>
      <c r="D211" s="45" t="s">
        <v>314</v>
      </c>
      <c r="E211" s="45" t="s">
        <v>267</v>
      </c>
      <c r="F211" s="45" t="s">
        <v>59</v>
      </c>
      <c r="G211" s="74">
        <v>400000</v>
      </c>
      <c r="H211" s="112"/>
      <c r="I211" s="74">
        <v>400000</v>
      </c>
      <c r="J211" s="112">
        <v>-8000</v>
      </c>
      <c r="K211" s="74">
        <f>I211+J211</f>
        <v>392000</v>
      </c>
      <c r="L211" s="112">
        <v>-1163.96</v>
      </c>
      <c r="M211" s="74">
        <f>K211+L211</f>
        <v>390836.04</v>
      </c>
      <c r="N211" s="113"/>
      <c r="O211" s="74">
        <f>M211+N211</f>
        <v>390836.04</v>
      </c>
      <c r="P211" s="113"/>
      <c r="Q211" s="74">
        <f>O211+P211</f>
        <v>390836.04</v>
      </c>
      <c r="R211" s="136">
        <v>-49125.37</v>
      </c>
      <c r="S211" s="74">
        <f>Q211+R211</f>
        <v>341710.67</v>
      </c>
      <c r="T211" s="74">
        <v>341231.6</v>
      </c>
      <c r="U211" s="56">
        <f t="shared" si="10"/>
        <v>99.9</v>
      </c>
    </row>
    <row r="212" spans="1:21" ht="17.25" customHeight="1">
      <c r="A212" s="20" t="s">
        <v>315</v>
      </c>
      <c r="B212" s="47" t="s">
        <v>114</v>
      </c>
      <c r="C212" s="47" t="s">
        <v>115</v>
      </c>
      <c r="D212" s="47" t="s">
        <v>316</v>
      </c>
      <c r="E212" s="47" t="s">
        <v>268</v>
      </c>
      <c r="F212" s="47"/>
      <c r="G212" s="61">
        <f>G213</f>
        <v>2730000</v>
      </c>
      <c r="H212" s="112"/>
      <c r="I212" s="61">
        <f>I213</f>
        <v>2726800</v>
      </c>
      <c r="J212" s="112"/>
      <c r="K212" s="75">
        <f>K213</f>
        <v>2741400</v>
      </c>
      <c r="L212" s="112"/>
      <c r="M212" s="75">
        <f>M213</f>
        <v>2883464.96</v>
      </c>
      <c r="N212" s="113"/>
      <c r="O212" s="75">
        <f>O213</f>
        <v>2957968.14</v>
      </c>
      <c r="P212" s="113"/>
      <c r="Q212" s="75">
        <f>Q213</f>
        <v>2952080.14</v>
      </c>
      <c r="R212" s="113"/>
      <c r="S212" s="75">
        <f>S213</f>
        <v>3075015.5</v>
      </c>
      <c r="T212" s="75">
        <f>T213</f>
        <v>3013352.99</v>
      </c>
      <c r="U212" s="56">
        <f t="shared" si="10"/>
        <v>98</v>
      </c>
    </row>
    <row r="213" spans="1:21" ht="34.5" customHeight="1">
      <c r="A213" s="9" t="s">
        <v>36</v>
      </c>
      <c r="B213" s="47" t="s">
        <v>114</v>
      </c>
      <c r="C213" s="47" t="s">
        <v>115</v>
      </c>
      <c r="D213" s="47" t="s">
        <v>316</v>
      </c>
      <c r="E213" s="47" t="s">
        <v>268</v>
      </c>
      <c r="F213" s="47" t="s">
        <v>59</v>
      </c>
      <c r="G213" s="75">
        <v>2730000</v>
      </c>
      <c r="H213" s="112">
        <v>-3200</v>
      </c>
      <c r="I213" s="75">
        <f>G213+H213</f>
        <v>2726800</v>
      </c>
      <c r="J213" s="112">
        <v>14600</v>
      </c>
      <c r="K213" s="75">
        <f>I213+J213</f>
        <v>2741400</v>
      </c>
      <c r="L213" s="112">
        <v>142064.96</v>
      </c>
      <c r="M213" s="75">
        <f>K213+L213</f>
        <v>2883464.96</v>
      </c>
      <c r="N213" s="113">
        <v>74503.18</v>
      </c>
      <c r="O213" s="75">
        <f>M213+N213</f>
        <v>2957968.14</v>
      </c>
      <c r="P213" s="113">
        <f>-10888+1000+4000</f>
        <v>-5888</v>
      </c>
      <c r="Q213" s="75">
        <f>O213+P213</f>
        <v>2952080.14</v>
      </c>
      <c r="R213" s="136">
        <v>122935.36</v>
      </c>
      <c r="S213" s="75">
        <f>Q213+R213</f>
        <v>3075015.5</v>
      </c>
      <c r="T213" s="75">
        <v>3013352.99</v>
      </c>
      <c r="U213" s="56">
        <f t="shared" si="10"/>
        <v>98</v>
      </c>
    </row>
    <row r="214" spans="1:21" ht="21" customHeight="1">
      <c r="A214" s="14" t="s">
        <v>736</v>
      </c>
      <c r="B214" s="47" t="s">
        <v>114</v>
      </c>
      <c r="C214" s="47" t="s">
        <v>115</v>
      </c>
      <c r="D214" s="47" t="s">
        <v>735</v>
      </c>
      <c r="E214" s="47" t="s">
        <v>269</v>
      </c>
      <c r="F214" s="47"/>
      <c r="G214" s="74">
        <f>G215</f>
        <v>500000</v>
      </c>
      <c r="H214" s="112"/>
      <c r="I214" s="74">
        <f>I215</f>
        <v>500000</v>
      </c>
      <c r="J214" s="112"/>
      <c r="K214" s="74">
        <f>K215</f>
        <v>500000</v>
      </c>
      <c r="L214" s="112"/>
      <c r="M214" s="74">
        <f>M215+M216</f>
        <v>371099</v>
      </c>
      <c r="N214" s="113"/>
      <c r="O214" s="74">
        <f>O215+O216</f>
        <v>371099</v>
      </c>
      <c r="P214" s="113"/>
      <c r="Q214" s="74">
        <f>Q215+Q216</f>
        <v>371099</v>
      </c>
      <c r="R214" s="113"/>
      <c r="S214" s="74">
        <f>S215+S216</f>
        <v>221099</v>
      </c>
      <c r="T214" s="74">
        <f>T215+T216</f>
        <v>211513</v>
      </c>
      <c r="U214" s="56">
        <f t="shared" si="10"/>
        <v>95.7</v>
      </c>
    </row>
    <row r="215" spans="1:21" ht="33" customHeight="1">
      <c r="A215" s="9" t="s">
        <v>36</v>
      </c>
      <c r="B215" s="47" t="s">
        <v>114</v>
      </c>
      <c r="C215" s="47" t="s">
        <v>115</v>
      </c>
      <c r="D215" s="47" t="s">
        <v>735</v>
      </c>
      <c r="E215" s="47" t="s">
        <v>269</v>
      </c>
      <c r="F215" s="47" t="s">
        <v>59</v>
      </c>
      <c r="G215" s="74">
        <v>500000</v>
      </c>
      <c r="H215" s="112"/>
      <c r="I215" s="74">
        <v>500000</v>
      </c>
      <c r="J215" s="112"/>
      <c r="K215" s="74">
        <v>500000</v>
      </c>
      <c r="L215" s="112">
        <v>-428901</v>
      </c>
      <c r="M215" s="74">
        <f>K215+L215</f>
        <v>71099</v>
      </c>
      <c r="N215" s="113"/>
      <c r="O215" s="74">
        <f>M215+N215</f>
        <v>71099</v>
      </c>
      <c r="P215" s="113"/>
      <c r="Q215" s="74">
        <f>O215+P215</f>
        <v>71099</v>
      </c>
      <c r="R215" s="113"/>
      <c r="S215" s="74">
        <f>Q215+R215</f>
        <v>71099</v>
      </c>
      <c r="T215" s="74">
        <f>R215+S215</f>
        <v>71099</v>
      </c>
      <c r="U215" s="56">
        <f t="shared" si="10"/>
        <v>100</v>
      </c>
    </row>
    <row r="216" spans="1:21" ht="79.5" customHeight="1">
      <c r="A216" s="23" t="s">
        <v>75</v>
      </c>
      <c r="B216" s="47" t="s">
        <v>114</v>
      </c>
      <c r="C216" s="47" t="s">
        <v>115</v>
      </c>
      <c r="D216" s="47" t="s">
        <v>735</v>
      </c>
      <c r="E216" s="47" t="s">
        <v>269</v>
      </c>
      <c r="F216" s="47" t="s">
        <v>216</v>
      </c>
      <c r="G216" s="74"/>
      <c r="H216" s="112"/>
      <c r="I216" s="74"/>
      <c r="J216" s="112"/>
      <c r="K216" s="74"/>
      <c r="L216" s="112">
        <v>300000</v>
      </c>
      <c r="M216" s="74">
        <f>K216+L216</f>
        <v>300000</v>
      </c>
      <c r="N216" s="113"/>
      <c r="O216" s="74">
        <f>M216+N216</f>
        <v>300000</v>
      </c>
      <c r="P216" s="113"/>
      <c r="Q216" s="74">
        <f>O216+P216</f>
        <v>300000</v>
      </c>
      <c r="R216" s="113">
        <v>-150000</v>
      </c>
      <c r="S216" s="74">
        <f>Q216+R216</f>
        <v>150000</v>
      </c>
      <c r="T216" s="74">
        <v>140414</v>
      </c>
      <c r="U216" s="56">
        <f t="shared" si="10"/>
        <v>93.6</v>
      </c>
    </row>
    <row r="217" spans="1:21" ht="34.5" customHeight="1">
      <c r="A217" s="11" t="s">
        <v>117</v>
      </c>
      <c r="B217" s="45" t="s">
        <v>114</v>
      </c>
      <c r="C217" s="45" t="s">
        <v>118</v>
      </c>
      <c r="D217" s="45"/>
      <c r="E217" s="45"/>
      <c r="F217" s="45"/>
      <c r="G217" s="60">
        <f>G218</f>
        <v>381000</v>
      </c>
      <c r="H217" s="112"/>
      <c r="I217" s="60">
        <f>I218</f>
        <v>381000</v>
      </c>
      <c r="J217" s="112"/>
      <c r="K217" s="74">
        <f>K218</f>
        <v>381000</v>
      </c>
      <c r="L217" s="112"/>
      <c r="M217" s="74">
        <f>M218</f>
        <v>381000</v>
      </c>
      <c r="N217" s="113"/>
      <c r="O217" s="74">
        <f>O218</f>
        <v>360000</v>
      </c>
      <c r="P217" s="113"/>
      <c r="Q217" s="74">
        <f>Q218</f>
        <v>492000</v>
      </c>
      <c r="R217" s="113"/>
      <c r="S217" s="74">
        <f>S218</f>
        <v>492000</v>
      </c>
      <c r="T217" s="74">
        <f>T218</f>
        <v>437247.12</v>
      </c>
      <c r="U217" s="56">
        <f t="shared" si="10"/>
        <v>88.9</v>
      </c>
    </row>
    <row r="218" spans="1:21" ht="94.5" customHeight="1">
      <c r="A218" s="13" t="s">
        <v>231</v>
      </c>
      <c r="B218" s="45" t="s">
        <v>114</v>
      </c>
      <c r="C218" s="45" t="s">
        <v>118</v>
      </c>
      <c r="D218" s="45" t="s">
        <v>94</v>
      </c>
      <c r="E218" s="45" t="s">
        <v>368</v>
      </c>
      <c r="F218" s="45"/>
      <c r="G218" s="60">
        <f>G219</f>
        <v>381000</v>
      </c>
      <c r="H218" s="112"/>
      <c r="I218" s="60">
        <f>I219</f>
        <v>381000</v>
      </c>
      <c r="J218" s="112"/>
      <c r="K218" s="74">
        <f>K219</f>
        <v>381000</v>
      </c>
      <c r="L218" s="112"/>
      <c r="M218" s="74">
        <f>M219</f>
        <v>381000</v>
      </c>
      <c r="N218" s="113"/>
      <c r="O218" s="74">
        <f>O219</f>
        <v>360000</v>
      </c>
      <c r="P218" s="113"/>
      <c r="Q218" s="74">
        <f>Q219</f>
        <v>492000</v>
      </c>
      <c r="R218" s="113"/>
      <c r="S218" s="74">
        <f>S219</f>
        <v>492000</v>
      </c>
      <c r="T218" s="74">
        <f>T219</f>
        <v>437247.12</v>
      </c>
      <c r="U218" s="56">
        <f t="shared" si="10"/>
        <v>88.9</v>
      </c>
    </row>
    <row r="219" spans="1:21" ht="96" customHeight="1">
      <c r="A219" s="20" t="s">
        <v>661</v>
      </c>
      <c r="B219" s="45" t="s">
        <v>114</v>
      </c>
      <c r="C219" s="45" t="s">
        <v>118</v>
      </c>
      <c r="D219" s="45" t="s">
        <v>327</v>
      </c>
      <c r="E219" s="45" t="s">
        <v>270</v>
      </c>
      <c r="F219" s="45"/>
      <c r="G219" s="60">
        <f>G220+G222</f>
        <v>381000</v>
      </c>
      <c r="H219" s="112"/>
      <c r="I219" s="60">
        <f>I220+I222</f>
        <v>381000</v>
      </c>
      <c r="J219" s="112"/>
      <c r="K219" s="74">
        <f>K220+K222</f>
        <v>381000</v>
      </c>
      <c r="L219" s="112"/>
      <c r="M219" s="74">
        <f>M220+M222</f>
        <v>381000</v>
      </c>
      <c r="N219" s="113"/>
      <c r="O219" s="74">
        <f>O220+O222</f>
        <v>360000</v>
      </c>
      <c r="P219" s="113"/>
      <c r="Q219" s="74">
        <f>Q220+Q222</f>
        <v>492000</v>
      </c>
      <c r="R219" s="113"/>
      <c r="S219" s="74">
        <f>S220+S222</f>
        <v>492000</v>
      </c>
      <c r="T219" s="74">
        <f>T220+T222</f>
        <v>437247.12</v>
      </c>
      <c r="U219" s="56">
        <f t="shared" si="10"/>
        <v>88.9</v>
      </c>
    </row>
    <row r="220" spans="1:21" ht="31.5" customHeight="1">
      <c r="A220" s="20" t="s">
        <v>321</v>
      </c>
      <c r="B220" s="45" t="s">
        <v>114</v>
      </c>
      <c r="C220" s="45" t="s">
        <v>118</v>
      </c>
      <c r="D220" s="45" t="s">
        <v>320</v>
      </c>
      <c r="E220" s="45" t="s">
        <v>271</v>
      </c>
      <c r="F220" s="45"/>
      <c r="G220" s="60">
        <f>G221</f>
        <v>360000</v>
      </c>
      <c r="H220" s="112"/>
      <c r="I220" s="60">
        <f>I221</f>
        <v>360000</v>
      </c>
      <c r="J220" s="112"/>
      <c r="K220" s="74">
        <f>K221</f>
        <v>360000</v>
      </c>
      <c r="L220" s="112"/>
      <c r="M220" s="74">
        <f>M221</f>
        <v>360000</v>
      </c>
      <c r="N220" s="113"/>
      <c r="O220" s="74">
        <f>O221</f>
        <v>360000</v>
      </c>
      <c r="P220" s="113"/>
      <c r="Q220" s="74">
        <f>Q221</f>
        <v>492000</v>
      </c>
      <c r="R220" s="113"/>
      <c r="S220" s="74">
        <f>S221</f>
        <v>492000</v>
      </c>
      <c r="T220" s="74">
        <f>T221</f>
        <v>437247.12</v>
      </c>
      <c r="U220" s="56">
        <f t="shared" si="10"/>
        <v>88.9</v>
      </c>
    </row>
    <row r="221" spans="1:21" ht="76.5" customHeight="1">
      <c r="A221" s="23" t="s">
        <v>75</v>
      </c>
      <c r="B221" s="45" t="s">
        <v>114</v>
      </c>
      <c r="C221" s="45" t="s">
        <v>118</v>
      </c>
      <c r="D221" s="45" t="s">
        <v>320</v>
      </c>
      <c r="E221" s="45" t="s">
        <v>271</v>
      </c>
      <c r="F221" s="45" t="s">
        <v>216</v>
      </c>
      <c r="G221" s="74">
        <v>360000</v>
      </c>
      <c r="H221" s="112"/>
      <c r="I221" s="74">
        <f>G221+H221</f>
        <v>360000</v>
      </c>
      <c r="J221" s="112"/>
      <c r="K221" s="74">
        <f>I221+J221</f>
        <v>360000</v>
      </c>
      <c r="L221" s="112"/>
      <c r="M221" s="74">
        <f>K221+L221</f>
        <v>360000</v>
      </c>
      <c r="N221" s="113"/>
      <c r="O221" s="74">
        <f>M221+N221</f>
        <v>360000</v>
      </c>
      <c r="P221" s="113">
        <v>132000</v>
      </c>
      <c r="Q221" s="74">
        <f>O221+P221</f>
        <v>492000</v>
      </c>
      <c r="R221" s="113"/>
      <c r="S221" s="74">
        <f>Q221+R221</f>
        <v>492000</v>
      </c>
      <c r="T221" s="74">
        <v>437247.12</v>
      </c>
      <c r="U221" s="56">
        <f t="shared" si="10"/>
        <v>88.9</v>
      </c>
    </row>
    <row r="222" spans="1:21" ht="0.75" customHeight="1" hidden="1">
      <c r="A222" s="35" t="s">
        <v>52</v>
      </c>
      <c r="B222" s="45" t="s">
        <v>114</v>
      </c>
      <c r="C222" s="45" t="s">
        <v>118</v>
      </c>
      <c r="D222" s="45" t="s">
        <v>697</v>
      </c>
      <c r="E222" s="45" t="s">
        <v>272</v>
      </c>
      <c r="F222" s="45"/>
      <c r="G222" s="60">
        <f>G223</f>
        <v>21000</v>
      </c>
      <c r="H222" s="112"/>
      <c r="I222" s="60">
        <f>I223</f>
        <v>21000</v>
      </c>
      <c r="J222" s="112"/>
      <c r="K222" s="74">
        <f>K223</f>
        <v>21000</v>
      </c>
      <c r="L222" s="112"/>
      <c r="M222" s="74">
        <f>M223</f>
        <v>21000</v>
      </c>
      <c r="N222" s="113"/>
      <c r="O222" s="74">
        <f>O223</f>
        <v>0</v>
      </c>
      <c r="P222" s="113"/>
      <c r="Q222" s="74">
        <f>Q223</f>
        <v>0</v>
      </c>
      <c r="R222" s="113"/>
      <c r="S222" s="74">
        <f>S223</f>
        <v>0</v>
      </c>
      <c r="T222" s="74">
        <f>T223</f>
        <v>0</v>
      </c>
      <c r="U222" s="56" t="str">
        <f t="shared" si="10"/>
        <v>-</v>
      </c>
    </row>
    <row r="223" spans="1:21" ht="10.5" customHeight="1" hidden="1">
      <c r="A223" s="11" t="s">
        <v>76</v>
      </c>
      <c r="B223" s="45" t="s">
        <v>114</v>
      </c>
      <c r="C223" s="45" t="s">
        <v>118</v>
      </c>
      <c r="D223" s="45" t="s">
        <v>697</v>
      </c>
      <c r="E223" s="45" t="s">
        <v>272</v>
      </c>
      <c r="F223" s="45" t="s">
        <v>216</v>
      </c>
      <c r="G223" s="74">
        <v>21000</v>
      </c>
      <c r="H223" s="112"/>
      <c r="I223" s="74">
        <f>G223+H223</f>
        <v>21000</v>
      </c>
      <c r="J223" s="112"/>
      <c r="K223" s="74">
        <f>I223+J223</f>
        <v>21000</v>
      </c>
      <c r="L223" s="112"/>
      <c r="M223" s="74">
        <f>K223+L223</f>
        <v>21000</v>
      </c>
      <c r="N223" s="113">
        <v>-21000</v>
      </c>
      <c r="O223" s="74">
        <f>M223+N223</f>
        <v>0</v>
      </c>
      <c r="P223" s="113"/>
      <c r="Q223" s="74">
        <f>O223+P223</f>
        <v>0</v>
      </c>
      <c r="R223" s="113"/>
      <c r="S223" s="74">
        <f>Q223+R223</f>
        <v>0</v>
      </c>
      <c r="T223" s="74">
        <f>R223+S223</f>
        <v>0</v>
      </c>
      <c r="U223" s="56" t="str">
        <f t="shared" si="10"/>
        <v>-</v>
      </c>
    </row>
    <row r="224" spans="1:21" ht="21.75" customHeight="1">
      <c r="A224" s="9" t="s">
        <v>151</v>
      </c>
      <c r="B224" s="45" t="s">
        <v>114</v>
      </c>
      <c r="C224" s="45" t="s">
        <v>107</v>
      </c>
      <c r="D224" s="45"/>
      <c r="E224" s="45"/>
      <c r="F224" s="45"/>
      <c r="G224" s="56">
        <f>G225</f>
        <v>321500</v>
      </c>
      <c r="H224" s="112"/>
      <c r="I224" s="56">
        <f>I225</f>
        <v>280875</v>
      </c>
      <c r="J224" s="112"/>
      <c r="K224" s="76">
        <f>K225</f>
        <v>280875</v>
      </c>
      <c r="L224" s="112"/>
      <c r="M224" s="76">
        <f>M225</f>
        <v>280875</v>
      </c>
      <c r="N224" s="113"/>
      <c r="O224" s="76">
        <f>O225</f>
        <v>280875</v>
      </c>
      <c r="P224" s="113"/>
      <c r="Q224" s="76">
        <f>Q225</f>
        <v>168525</v>
      </c>
      <c r="R224" s="113"/>
      <c r="S224" s="76">
        <f aca="true" t="shared" si="11" ref="S224:T228">S225</f>
        <v>133747.88</v>
      </c>
      <c r="T224" s="76">
        <f t="shared" si="11"/>
        <v>133747.88</v>
      </c>
      <c r="U224" s="56">
        <f t="shared" si="10"/>
        <v>100</v>
      </c>
    </row>
    <row r="225" spans="1:21" ht="31.5" customHeight="1">
      <c r="A225" s="9" t="s">
        <v>123</v>
      </c>
      <c r="B225" s="45" t="s">
        <v>114</v>
      </c>
      <c r="C225" s="45" t="s">
        <v>124</v>
      </c>
      <c r="D225" s="45"/>
      <c r="E225" s="45"/>
      <c r="F225" s="45"/>
      <c r="G225" s="56">
        <f>G226</f>
        <v>321500</v>
      </c>
      <c r="H225" s="112"/>
      <c r="I225" s="56">
        <f>I226</f>
        <v>280875</v>
      </c>
      <c r="J225" s="112"/>
      <c r="K225" s="76">
        <f>K226</f>
        <v>280875</v>
      </c>
      <c r="L225" s="112"/>
      <c r="M225" s="76">
        <f>M226</f>
        <v>280875</v>
      </c>
      <c r="N225" s="113"/>
      <c r="O225" s="76">
        <f>O226</f>
        <v>280875</v>
      </c>
      <c r="P225" s="113"/>
      <c r="Q225" s="76">
        <f>Q226</f>
        <v>168525</v>
      </c>
      <c r="R225" s="113"/>
      <c r="S225" s="76">
        <f t="shared" si="11"/>
        <v>133747.88</v>
      </c>
      <c r="T225" s="76">
        <f t="shared" si="11"/>
        <v>133747.88</v>
      </c>
      <c r="U225" s="56">
        <f t="shared" si="10"/>
        <v>100</v>
      </c>
    </row>
    <row r="226" spans="1:21" ht="65.25" customHeight="1">
      <c r="A226" s="42" t="s">
        <v>346</v>
      </c>
      <c r="B226" s="45" t="s">
        <v>114</v>
      </c>
      <c r="C226" s="45" t="s">
        <v>124</v>
      </c>
      <c r="D226" s="45" t="s">
        <v>170</v>
      </c>
      <c r="E226" s="45" t="s">
        <v>444</v>
      </c>
      <c r="F226" s="45"/>
      <c r="G226" s="56">
        <f>G227</f>
        <v>321500</v>
      </c>
      <c r="H226" s="112"/>
      <c r="I226" s="56">
        <f>I227</f>
        <v>280875</v>
      </c>
      <c r="J226" s="112"/>
      <c r="K226" s="76">
        <f>K227</f>
        <v>280875</v>
      </c>
      <c r="L226" s="112"/>
      <c r="M226" s="76">
        <f>M227</f>
        <v>280875</v>
      </c>
      <c r="N226" s="113"/>
      <c r="O226" s="76">
        <f>O227</f>
        <v>280875</v>
      </c>
      <c r="P226" s="113"/>
      <c r="Q226" s="76">
        <f>Q227</f>
        <v>168525</v>
      </c>
      <c r="R226" s="113"/>
      <c r="S226" s="76">
        <f t="shared" si="11"/>
        <v>133747.88</v>
      </c>
      <c r="T226" s="76">
        <f t="shared" si="11"/>
        <v>133747.88</v>
      </c>
      <c r="U226" s="56">
        <f t="shared" si="10"/>
        <v>100</v>
      </c>
    </row>
    <row r="227" spans="1:21" ht="63.75" customHeight="1">
      <c r="A227" s="13" t="s">
        <v>480</v>
      </c>
      <c r="B227" s="45" t="s">
        <v>114</v>
      </c>
      <c r="C227" s="45" t="s">
        <v>124</v>
      </c>
      <c r="D227" s="45" t="s">
        <v>479</v>
      </c>
      <c r="E227" s="45" t="s">
        <v>449</v>
      </c>
      <c r="F227" s="45"/>
      <c r="G227" s="56">
        <f>G228</f>
        <v>321500</v>
      </c>
      <c r="H227" s="112"/>
      <c r="I227" s="56">
        <f>I228</f>
        <v>280875</v>
      </c>
      <c r="J227" s="112"/>
      <c r="K227" s="76">
        <f>K228</f>
        <v>280875</v>
      </c>
      <c r="L227" s="112"/>
      <c r="M227" s="76">
        <f>M228</f>
        <v>280875</v>
      </c>
      <c r="N227" s="113"/>
      <c r="O227" s="76">
        <f>O228</f>
        <v>280875</v>
      </c>
      <c r="P227" s="113"/>
      <c r="Q227" s="76">
        <f>Q228</f>
        <v>168525</v>
      </c>
      <c r="R227" s="113"/>
      <c r="S227" s="76">
        <f t="shared" si="11"/>
        <v>133747.88</v>
      </c>
      <c r="T227" s="76">
        <f t="shared" si="11"/>
        <v>133747.88</v>
      </c>
      <c r="U227" s="56">
        <f t="shared" si="10"/>
        <v>100</v>
      </c>
    </row>
    <row r="228" spans="1:21" ht="30.75" customHeight="1">
      <c r="A228" s="13" t="s">
        <v>485</v>
      </c>
      <c r="B228" s="45" t="s">
        <v>114</v>
      </c>
      <c r="C228" s="45" t="s">
        <v>124</v>
      </c>
      <c r="D228" s="45" t="s">
        <v>486</v>
      </c>
      <c r="E228" s="45" t="s">
        <v>459</v>
      </c>
      <c r="F228" s="45"/>
      <c r="G228" s="56">
        <f>G229</f>
        <v>321500</v>
      </c>
      <c r="H228" s="112"/>
      <c r="I228" s="56">
        <f>I229</f>
        <v>280875</v>
      </c>
      <c r="J228" s="112"/>
      <c r="K228" s="76">
        <f>K229</f>
        <v>280875</v>
      </c>
      <c r="L228" s="112"/>
      <c r="M228" s="76">
        <f>M229</f>
        <v>280875</v>
      </c>
      <c r="N228" s="113"/>
      <c r="O228" s="76">
        <f>O229</f>
        <v>280875</v>
      </c>
      <c r="P228" s="113"/>
      <c r="Q228" s="76">
        <f>Q229</f>
        <v>168525</v>
      </c>
      <c r="R228" s="113"/>
      <c r="S228" s="76">
        <f t="shared" si="11"/>
        <v>133747.88</v>
      </c>
      <c r="T228" s="76">
        <f t="shared" si="11"/>
        <v>133747.88</v>
      </c>
      <c r="U228" s="56">
        <f t="shared" si="10"/>
        <v>100</v>
      </c>
    </row>
    <row r="229" spans="1:21" ht="31.5" customHeight="1">
      <c r="A229" s="9" t="s">
        <v>68</v>
      </c>
      <c r="B229" s="45" t="s">
        <v>114</v>
      </c>
      <c r="C229" s="45" t="s">
        <v>124</v>
      </c>
      <c r="D229" s="45" t="s">
        <v>486</v>
      </c>
      <c r="E229" s="45" t="s">
        <v>459</v>
      </c>
      <c r="F229" s="45" t="s">
        <v>59</v>
      </c>
      <c r="G229" s="74">
        <v>321500</v>
      </c>
      <c r="H229" s="112">
        <v>-40625</v>
      </c>
      <c r="I229" s="74">
        <f>G229+H229</f>
        <v>280875</v>
      </c>
      <c r="J229" s="112"/>
      <c r="K229" s="74">
        <f>I229+J229</f>
        <v>280875</v>
      </c>
      <c r="L229" s="112"/>
      <c r="M229" s="74">
        <f>K229+L229</f>
        <v>280875</v>
      </c>
      <c r="N229" s="113"/>
      <c r="O229" s="74">
        <f>M229+N229</f>
        <v>280875</v>
      </c>
      <c r="P229" s="113">
        <v>-112350</v>
      </c>
      <c r="Q229" s="74">
        <f>O229+P229</f>
        <v>168525</v>
      </c>
      <c r="R229" s="113">
        <v>-34777.12</v>
      </c>
      <c r="S229" s="74">
        <f>Q229+R229</f>
        <v>133747.88</v>
      </c>
      <c r="T229" s="74">
        <v>133747.88</v>
      </c>
      <c r="U229" s="56">
        <f t="shared" si="10"/>
        <v>100</v>
      </c>
    </row>
    <row r="230" spans="1:21" ht="17.25" customHeight="1">
      <c r="A230" s="9" t="s">
        <v>152</v>
      </c>
      <c r="B230" s="45" t="s">
        <v>114</v>
      </c>
      <c r="C230" s="45" t="s">
        <v>108</v>
      </c>
      <c r="D230" s="45"/>
      <c r="E230" s="45"/>
      <c r="F230" s="45"/>
      <c r="G230" s="56">
        <f>G231</f>
        <v>1169370</v>
      </c>
      <c r="H230" s="112"/>
      <c r="I230" s="56">
        <f>I231</f>
        <v>1169370</v>
      </c>
      <c r="J230" s="113"/>
      <c r="K230" s="76">
        <f>K231</f>
        <v>1169370</v>
      </c>
      <c r="L230" s="113"/>
      <c r="M230" s="76">
        <f>M231</f>
        <v>1165259.3</v>
      </c>
      <c r="N230" s="113"/>
      <c r="O230" s="76">
        <f>O231</f>
        <v>1165259.3</v>
      </c>
      <c r="P230" s="113"/>
      <c r="Q230" s="76">
        <f>Q231</f>
        <v>1165221.35</v>
      </c>
      <c r="R230" s="113"/>
      <c r="S230" s="76">
        <f>S231</f>
        <v>884563.34</v>
      </c>
      <c r="T230" s="76">
        <f>T231</f>
        <v>873649.29</v>
      </c>
      <c r="U230" s="56">
        <f t="shared" si="10"/>
        <v>98.8</v>
      </c>
    </row>
    <row r="231" spans="1:21" ht="78.75" customHeight="1">
      <c r="A231" s="24" t="s">
        <v>682</v>
      </c>
      <c r="B231" s="45">
        <v>901</v>
      </c>
      <c r="C231" s="45" t="s">
        <v>110</v>
      </c>
      <c r="D231" s="45" t="s">
        <v>600</v>
      </c>
      <c r="E231" s="45" t="s">
        <v>401</v>
      </c>
      <c r="F231" s="45"/>
      <c r="G231" s="56">
        <f>G232+G238+G241</f>
        <v>1169370</v>
      </c>
      <c r="H231" s="112"/>
      <c r="I231" s="56">
        <f>I232+I238+I241</f>
        <v>1169370</v>
      </c>
      <c r="J231" s="112"/>
      <c r="K231" s="76">
        <f>K232+K238+K241</f>
        <v>1169370</v>
      </c>
      <c r="L231" s="112"/>
      <c r="M231" s="76">
        <f>M232+M238+M241</f>
        <v>1165259.3</v>
      </c>
      <c r="N231" s="113"/>
      <c r="O231" s="76">
        <f>O232+O238+O241</f>
        <v>1165259.3</v>
      </c>
      <c r="P231" s="113"/>
      <c r="Q231" s="76">
        <f>Q232+Q238+Q241</f>
        <v>1165221.35</v>
      </c>
      <c r="R231" s="113"/>
      <c r="S231" s="76">
        <f>S232+S238+S241</f>
        <v>884563.34</v>
      </c>
      <c r="T231" s="76">
        <f>T232+T238+T241</f>
        <v>873649.29</v>
      </c>
      <c r="U231" s="56">
        <f t="shared" si="10"/>
        <v>98.8</v>
      </c>
    </row>
    <row r="232" spans="1:21" ht="51.75" customHeight="1">
      <c r="A232" s="31" t="s">
        <v>594</v>
      </c>
      <c r="B232" s="45" t="s">
        <v>114</v>
      </c>
      <c r="C232" s="45" t="s">
        <v>110</v>
      </c>
      <c r="D232" s="45" t="s">
        <v>669</v>
      </c>
      <c r="E232" s="45" t="s">
        <v>402</v>
      </c>
      <c r="F232" s="45"/>
      <c r="G232" s="56">
        <f>G233</f>
        <v>884870</v>
      </c>
      <c r="H232" s="112"/>
      <c r="I232" s="56">
        <f>I233</f>
        <v>884870</v>
      </c>
      <c r="J232" s="112"/>
      <c r="K232" s="76">
        <f>K233</f>
        <v>884870</v>
      </c>
      <c r="L232" s="112"/>
      <c r="M232" s="76">
        <f>M233</f>
        <v>870759.3</v>
      </c>
      <c r="N232" s="113"/>
      <c r="O232" s="76">
        <f>O233</f>
        <v>885924.3</v>
      </c>
      <c r="P232" s="113"/>
      <c r="Q232" s="76">
        <f>Q233</f>
        <v>885916.3</v>
      </c>
      <c r="R232" s="113"/>
      <c r="S232" s="76">
        <f>S233</f>
        <v>606222.74</v>
      </c>
      <c r="T232" s="76">
        <f>T233</f>
        <v>595310.54</v>
      </c>
      <c r="U232" s="56">
        <f t="shared" si="10"/>
        <v>98.2</v>
      </c>
    </row>
    <row r="233" spans="1:21" ht="30" customHeight="1">
      <c r="A233" s="71" t="s">
        <v>599</v>
      </c>
      <c r="B233" s="49">
        <v>901</v>
      </c>
      <c r="C233" s="49" t="s">
        <v>110</v>
      </c>
      <c r="D233" s="49" t="s">
        <v>601</v>
      </c>
      <c r="E233" s="49" t="s">
        <v>403</v>
      </c>
      <c r="F233" s="49"/>
      <c r="G233" s="56">
        <f>G234+G237</f>
        <v>884870</v>
      </c>
      <c r="H233" s="112"/>
      <c r="I233" s="56">
        <f>I234+I237+I236</f>
        <v>884870</v>
      </c>
      <c r="J233" s="112"/>
      <c r="K233" s="76">
        <f>K234+K237+K236+K235</f>
        <v>884870</v>
      </c>
      <c r="L233" s="112"/>
      <c r="M233" s="76">
        <f>M234+M237+M236+M235</f>
        <v>870759.3</v>
      </c>
      <c r="N233" s="113"/>
      <c r="O233" s="76">
        <f>O234+O237+O236+O235</f>
        <v>885924.3</v>
      </c>
      <c r="P233" s="113"/>
      <c r="Q233" s="76">
        <f>Q234+Q237+Q236+Q235</f>
        <v>885916.3</v>
      </c>
      <c r="R233" s="113"/>
      <c r="S233" s="76">
        <f>S234+S237+S236+S235</f>
        <v>606222.74</v>
      </c>
      <c r="T233" s="76">
        <f>T234+T237+T236+T235</f>
        <v>595310.54</v>
      </c>
      <c r="U233" s="56">
        <f t="shared" si="10"/>
        <v>98.2</v>
      </c>
    </row>
    <row r="234" spans="1:21" ht="36.75" customHeight="1">
      <c r="A234" s="103" t="s">
        <v>58</v>
      </c>
      <c r="B234" s="49" t="s">
        <v>114</v>
      </c>
      <c r="C234" s="49" t="s">
        <v>110</v>
      </c>
      <c r="D234" s="49"/>
      <c r="E234" s="49" t="s">
        <v>403</v>
      </c>
      <c r="F234" s="49" t="s">
        <v>57</v>
      </c>
      <c r="G234" s="76">
        <v>823870</v>
      </c>
      <c r="H234" s="113">
        <v>-8</v>
      </c>
      <c r="I234" s="76">
        <f>G234+H234</f>
        <v>823862</v>
      </c>
      <c r="J234" s="112">
        <v>-31152</v>
      </c>
      <c r="K234" s="76">
        <f>I234+J234</f>
        <v>792710</v>
      </c>
      <c r="L234" s="112"/>
      <c r="M234" s="76">
        <f>K234+L234</f>
        <v>792710</v>
      </c>
      <c r="N234" s="113"/>
      <c r="O234" s="76">
        <f>M234+N234</f>
        <v>792710</v>
      </c>
      <c r="P234" s="113"/>
      <c r="Q234" s="76">
        <f>O234+P234</f>
        <v>792710</v>
      </c>
      <c r="R234" s="143">
        <v>-280712.26</v>
      </c>
      <c r="S234" s="76">
        <f>Q234+R234</f>
        <v>511997.74</v>
      </c>
      <c r="T234" s="76">
        <v>501085.54</v>
      </c>
      <c r="U234" s="56">
        <f t="shared" si="10"/>
        <v>97.9</v>
      </c>
    </row>
    <row r="235" spans="1:21" ht="45" customHeight="1">
      <c r="A235" s="97" t="s">
        <v>68</v>
      </c>
      <c r="B235" s="49" t="s">
        <v>114</v>
      </c>
      <c r="C235" s="49" t="s">
        <v>110</v>
      </c>
      <c r="D235" s="49"/>
      <c r="E235" s="49" t="s">
        <v>403</v>
      </c>
      <c r="F235" s="49" t="s">
        <v>59</v>
      </c>
      <c r="G235" s="76"/>
      <c r="H235" s="113"/>
      <c r="I235" s="76"/>
      <c r="J235" s="112">
        <v>31152</v>
      </c>
      <c r="K235" s="76">
        <f>I235+J235</f>
        <v>31152</v>
      </c>
      <c r="L235" s="112"/>
      <c r="M235" s="76">
        <f>K235+L235</f>
        <v>31152</v>
      </c>
      <c r="N235" s="113"/>
      <c r="O235" s="76">
        <f>M235+N235</f>
        <v>31152</v>
      </c>
      <c r="P235" s="113"/>
      <c r="Q235" s="76">
        <f>O235+P235</f>
        <v>31152</v>
      </c>
      <c r="R235" s="143">
        <v>1500</v>
      </c>
      <c r="S235" s="76">
        <f>Q235+R235</f>
        <v>32652</v>
      </c>
      <c r="T235" s="76">
        <v>32652</v>
      </c>
      <c r="U235" s="56">
        <f t="shared" si="10"/>
        <v>100</v>
      </c>
    </row>
    <row r="236" spans="1:21" ht="22.5" customHeight="1">
      <c r="A236" s="103" t="s">
        <v>62</v>
      </c>
      <c r="B236" s="49" t="s">
        <v>114</v>
      </c>
      <c r="C236" s="49" t="s">
        <v>110</v>
      </c>
      <c r="D236" s="49"/>
      <c r="E236" s="49" t="s">
        <v>403</v>
      </c>
      <c r="F236" s="49" t="s">
        <v>61</v>
      </c>
      <c r="G236" s="76"/>
      <c r="H236" s="113">
        <v>8</v>
      </c>
      <c r="I236" s="76">
        <f>G236+H236</f>
        <v>8</v>
      </c>
      <c r="J236" s="112"/>
      <c r="K236" s="76">
        <f>I236+J236</f>
        <v>8</v>
      </c>
      <c r="L236" s="112"/>
      <c r="M236" s="76">
        <f>K236+L236</f>
        <v>8</v>
      </c>
      <c r="N236" s="113"/>
      <c r="O236" s="76">
        <f>M236+N236</f>
        <v>8</v>
      </c>
      <c r="P236" s="113">
        <v>-8</v>
      </c>
      <c r="Q236" s="76">
        <f>O236+P236</f>
        <v>0</v>
      </c>
      <c r="R236" s="143">
        <v>200</v>
      </c>
      <c r="S236" s="76">
        <f>Q236+R236</f>
        <v>200</v>
      </c>
      <c r="T236" s="76">
        <v>200</v>
      </c>
      <c r="U236" s="56">
        <f t="shared" si="10"/>
        <v>100</v>
      </c>
    </row>
    <row r="237" spans="1:21" ht="21" customHeight="1">
      <c r="A237" s="34" t="s">
        <v>213</v>
      </c>
      <c r="B237" s="49">
        <v>901</v>
      </c>
      <c r="C237" s="49" t="s">
        <v>110</v>
      </c>
      <c r="D237" s="49" t="s">
        <v>601</v>
      </c>
      <c r="E237" s="49" t="s">
        <v>403</v>
      </c>
      <c r="F237" s="49" t="s">
        <v>211</v>
      </c>
      <c r="G237" s="76">
        <v>61000</v>
      </c>
      <c r="H237" s="113"/>
      <c r="I237" s="76">
        <f>G237+H237</f>
        <v>61000</v>
      </c>
      <c r="J237" s="112"/>
      <c r="K237" s="76">
        <f>I237+J237</f>
        <v>61000</v>
      </c>
      <c r="L237" s="112">
        <v>-14110.7</v>
      </c>
      <c r="M237" s="76">
        <f>K237+L237</f>
        <v>46889.3</v>
      </c>
      <c r="N237" s="113">
        <v>15165</v>
      </c>
      <c r="O237" s="76">
        <f>M237+N237</f>
        <v>62054.3</v>
      </c>
      <c r="P237" s="113"/>
      <c r="Q237" s="76">
        <f>O237+P237</f>
        <v>62054.3</v>
      </c>
      <c r="R237" s="143">
        <v>-681.3</v>
      </c>
      <c r="S237" s="76">
        <f>Q237+R237</f>
        <v>61373</v>
      </c>
      <c r="T237" s="76">
        <v>61373</v>
      </c>
      <c r="U237" s="56">
        <f t="shared" si="10"/>
        <v>100</v>
      </c>
    </row>
    <row r="238" spans="1:21" ht="51" customHeight="1">
      <c r="A238" s="98" t="s">
        <v>602</v>
      </c>
      <c r="B238" s="49">
        <v>901</v>
      </c>
      <c r="C238" s="49" t="s">
        <v>110</v>
      </c>
      <c r="D238" s="49" t="s">
        <v>670</v>
      </c>
      <c r="E238" s="49" t="s">
        <v>404</v>
      </c>
      <c r="F238" s="49"/>
      <c r="G238" s="56">
        <f>G239</f>
        <v>34500</v>
      </c>
      <c r="H238" s="112"/>
      <c r="I238" s="56">
        <f>I239</f>
        <v>34500</v>
      </c>
      <c r="J238" s="112"/>
      <c r="K238" s="76">
        <f>K239</f>
        <v>34500</v>
      </c>
      <c r="L238" s="112"/>
      <c r="M238" s="76">
        <f>M239</f>
        <v>34500</v>
      </c>
      <c r="N238" s="113"/>
      <c r="O238" s="76">
        <f>O239</f>
        <v>19335</v>
      </c>
      <c r="P238" s="113"/>
      <c r="Q238" s="76">
        <f>Q239</f>
        <v>19335</v>
      </c>
      <c r="R238" s="113"/>
      <c r="S238" s="76">
        <f>S239</f>
        <v>19335</v>
      </c>
      <c r="T238" s="76">
        <f>T239</f>
        <v>19335</v>
      </c>
      <c r="U238" s="56">
        <f t="shared" si="10"/>
        <v>100</v>
      </c>
    </row>
    <row r="239" spans="1:21" ht="46.5" customHeight="1">
      <c r="A239" s="71" t="s">
        <v>603</v>
      </c>
      <c r="B239" s="49">
        <v>901</v>
      </c>
      <c r="C239" s="49" t="s">
        <v>110</v>
      </c>
      <c r="D239" s="49" t="s">
        <v>607</v>
      </c>
      <c r="E239" s="49" t="s">
        <v>405</v>
      </c>
      <c r="F239" s="49"/>
      <c r="G239" s="56">
        <f>G240</f>
        <v>34500</v>
      </c>
      <c r="H239" s="112"/>
      <c r="I239" s="56">
        <f>I240</f>
        <v>34500</v>
      </c>
      <c r="J239" s="112"/>
      <c r="K239" s="76">
        <f>K240</f>
        <v>34500</v>
      </c>
      <c r="L239" s="112"/>
      <c r="M239" s="76">
        <f>M240</f>
        <v>34500</v>
      </c>
      <c r="N239" s="113"/>
      <c r="O239" s="76">
        <f>O240</f>
        <v>19335</v>
      </c>
      <c r="P239" s="113"/>
      <c r="Q239" s="76">
        <f>Q240</f>
        <v>19335</v>
      </c>
      <c r="R239" s="113"/>
      <c r="S239" s="76">
        <f>S240</f>
        <v>19335</v>
      </c>
      <c r="T239" s="76">
        <f>T240</f>
        <v>19335</v>
      </c>
      <c r="U239" s="56">
        <f t="shared" si="10"/>
        <v>100</v>
      </c>
    </row>
    <row r="240" spans="1:21" ht="33" customHeight="1">
      <c r="A240" s="97" t="s">
        <v>68</v>
      </c>
      <c r="B240" s="49" t="s">
        <v>114</v>
      </c>
      <c r="C240" s="49" t="s">
        <v>110</v>
      </c>
      <c r="D240" s="49"/>
      <c r="E240" s="49" t="s">
        <v>405</v>
      </c>
      <c r="F240" s="49" t="s">
        <v>59</v>
      </c>
      <c r="G240" s="76">
        <v>34500</v>
      </c>
      <c r="H240" s="112"/>
      <c r="I240" s="76">
        <f>G240+H240</f>
        <v>34500</v>
      </c>
      <c r="J240" s="112"/>
      <c r="K240" s="76">
        <f>I240+J240</f>
        <v>34500</v>
      </c>
      <c r="L240" s="112"/>
      <c r="M240" s="76">
        <f>K240+L240</f>
        <v>34500</v>
      </c>
      <c r="N240" s="113">
        <v>-15165</v>
      </c>
      <c r="O240" s="76">
        <f>M240+N240</f>
        <v>19335</v>
      </c>
      <c r="P240" s="113"/>
      <c r="Q240" s="76">
        <f>O240+P240</f>
        <v>19335</v>
      </c>
      <c r="R240" s="113"/>
      <c r="S240" s="76">
        <f>Q240+R240</f>
        <v>19335</v>
      </c>
      <c r="T240" s="76">
        <f>R240+S240</f>
        <v>19335</v>
      </c>
      <c r="U240" s="56">
        <f t="shared" si="10"/>
        <v>100</v>
      </c>
    </row>
    <row r="241" spans="1:21" s="6" customFormat="1" ht="47.25" customHeight="1">
      <c r="A241" s="71" t="s">
        <v>604</v>
      </c>
      <c r="B241" s="49">
        <v>901</v>
      </c>
      <c r="C241" s="49" t="s">
        <v>110</v>
      </c>
      <c r="D241" s="49" t="s">
        <v>671</v>
      </c>
      <c r="E241" s="49" t="s">
        <v>406</v>
      </c>
      <c r="F241" s="49"/>
      <c r="G241" s="56">
        <f>G242</f>
        <v>250000</v>
      </c>
      <c r="H241" s="114"/>
      <c r="I241" s="56">
        <f>I242</f>
        <v>250000</v>
      </c>
      <c r="J241" s="114"/>
      <c r="K241" s="76">
        <f>K242</f>
        <v>250000</v>
      </c>
      <c r="L241" s="114"/>
      <c r="M241" s="76">
        <f>M242</f>
        <v>260000</v>
      </c>
      <c r="N241" s="131"/>
      <c r="O241" s="76">
        <f>O242</f>
        <v>260000</v>
      </c>
      <c r="P241" s="131"/>
      <c r="Q241" s="76">
        <f>Q242</f>
        <v>259970.05</v>
      </c>
      <c r="R241" s="131"/>
      <c r="S241" s="76">
        <f>S242</f>
        <v>259005.59999999998</v>
      </c>
      <c r="T241" s="76">
        <f>T242</f>
        <v>259003.75</v>
      </c>
      <c r="U241" s="56">
        <f t="shared" si="10"/>
        <v>100</v>
      </c>
    </row>
    <row r="242" spans="1:21" s="6" customFormat="1" ht="30" customHeight="1">
      <c r="A242" s="71" t="s">
        <v>605</v>
      </c>
      <c r="B242" s="49">
        <v>901</v>
      </c>
      <c r="C242" s="49" t="s">
        <v>110</v>
      </c>
      <c r="D242" s="49" t="s">
        <v>608</v>
      </c>
      <c r="E242" s="49" t="s">
        <v>407</v>
      </c>
      <c r="F242" s="49"/>
      <c r="G242" s="56">
        <f>G243</f>
        <v>250000</v>
      </c>
      <c r="H242" s="114"/>
      <c r="I242" s="56">
        <f>I243</f>
        <v>250000</v>
      </c>
      <c r="J242" s="114"/>
      <c r="K242" s="76">
        <f>K243</f>
        <v>250000</v>
      </c>
      <c r="L242" s="114"/>
      <c r="M242" s="76">
        <f>M243</f>
        <v>260000</v>
      </c>
      <c r="N242" s="131"/>
      <c r="O242" s="76">
        <f>O243</f>
        <v>260000</v>
      </c>
      <c r="P242" s="131"/>
      <c r="Q242" s="76">
        <f>Q243</f>
        <v>259970.05</v>
      </c>
      <c r="R242" s="131"/>
      <c r="S242" s="76">
        <f>S243</f>
        <v>259005.59999999998</v>
      </c>
      <c r="T242" s="76">
        <f>T243</f>
        <v>259003.75</v>
      </c>
      <c r="U242" s="56">
        <f t="shared" si="10"/>
        <v>100</v>
      </c>
    </row>
    <row r="243" spans="1:21" s="6" customFormat="1" ht="18.75" customHeight="1">
      <c r="A243" s="34" t="s">
        <v>213</v>
      </c>
      <c r="B243" s="49">
        <v>901</v>
      </c>
      <c r="C243" s="49" t="s">
        <v>110</v>
      </c>
      <c r="D243" s="49" t="s">
        <v>608</v>
      </c>
      <c r="E243" s="49" t="s">
        <v>407</v>
      </c>
      <c r="F243" s="49" t="s">
        <v>211</v>
      </c>
      <c r="G243" s="74">
        <v>250000</v>
      </c>
      <c r="H243" s="114"/>
      <c r="I243" s="74">
        <f>G243+H243</f>
        <v>250000</v>
      </c>
      <c r="J243" s="114"/>
      <c r="K243" s="74">
        <f>I243+J243</f>
        <v>250000</v>
      </c>
      <c r="L243" s="114">
        <v>10000</v>
      </c>
      <c r="M243" s="74">
        <f>K243+L243</f>
        <v>260000</v>
      </c>
      <c r="N243" s="131"/>
      <c r="O243" s="74">
        <f>M243+N243</f>
        <v>260000</v>
      </c>
      <c r="P243" s="131">
        <v>-29.95</v>
      </c>
      <c r="Q243" s="74">
        <f>O243+P243</f>
        <v>259970.05</v>
      </c>
      <c r="R243" s="131">
        <v>-964.45</v>
      </c>
      <c r="S243" s="74">
        <f>Q243+R243</f>
        <v>259005.59999999998</v>
      </c>
      <c r="T243" s="74">
        <v>259003.75</v>
      </c>
      <c r="U243" s="56">
        <f t="shared" si="10"/>
        <v>100</v>
      </c>
    </row>
    <row r="244" spans="1:21" ht="16.5" customHeight="1">
      <c r="A244" s="17" t="s">
        <v>156</v>
      </c>
      <c r="B244" s="47" t="s">
        <v>114</v>
      </c>
      <c r="C244" s="47" t="s">
        <v>126</v>
      </c>
      <c r="D244" s="47"/>
      <c r="E244" s="47"/>
      <c r="F244" s="47"/>
      <c r="G244" s="61">
        <f>G249+G282+G245</f>
        <v>100368300</v>
      </c>
      <c r="H244" s="112"/>
      <c r="I244" s="61">
        <f>I249+I282+I245</f>
        <v>100468300</v>
      </c>
      <c r="J244" s="112"/>
      <c r="K244" s="75">
        <f>K249+K282+K245</f>
        <v>102447600</v>
      </c>
      <c r="L244" s="112"/>
      <c r="M244" s="75">
        <f>M249+M282+M245</f>
        <v>102953900</v>
      </c>
      <c r="N244" s="113"/>
      <c r="O244" s="75">
        <f>O249+O282+O245</f>
        <v>102860200</v>
      </c>
      <c r="P244" s="113"/>
      <c r="Q244" s="75">
        <f>Q249+Q282+Q245</f>
        <v>103277635</v>
      </c>
      <c r="R244" s="113"/>
      <c r="S244" s="75">
        <f>S249+S282+S245</f>
        <v>108632395</v>
      </c>
      <c r="T244" s="75">
        <f>T249+T282+T245</f>
        <v>104247272.66999997</v>
      </c>
      <c r="U244" s="56">
        <f t="shared" si="10"/>
        <v>96</v>
      </c>
    </row>
    <row r="245" spans="1:21" ht="17.25" customHeight="1">
      <c r="A245" s="17" t="s">
        <v>157</v>
      </c>
      <c r="B245" s="47" t="s">
        <v>114</v>
      </c>
      <c r="C245" s="47" t="s">
        <v>140</v>
      </c>
      <c r="D245" s="47"/>
      <c r="E245" s="47"/>
      <c r="F245" s="47"/>
      <c r="G245" s="61">
        <f>G246</f>
        <v>5469300</v>
      </c>
      <c r="H245" s="112"/>
      <c r="I245" s="61">
        <f>I246</f>
        <v>5469300</v>
      </c>
      <c r="J245" s="112"/>
      <c r="K245" s="75">
        <f>K246</f>
        <v>5469300</v>
      </c>
      <c r="L245" s="112"/>
      <c r="M245" s="75">
        <f>M246</f>
        <v>5469300</v>
      </c>
      <c r="N245" s="113"/>
      <c r="O245" s="75">
        <f>O246</f>
        <v>5469300</v>
      </c>
      <c r="P245" s="113"/>
      <c r="Q245" s="75">
        <f>Q246</f>
        <v>5886735</v>
      </c>
      <c r="R245" s="113"/>
      <c r="S245" s="75">
        <f aca="true" t="shared" si="12" ref="S245:T247">S246</f>
        <v>5886735</v>
      </c>
      <c r="T245" s="75">
        <f t="shared" si="12"/>
        <v>5884663.19</v>
      </c>
      <c r="U245" s="56">
        <f t="shared" si="10"/>
        <v>100</v>
      </c>
    </row>
    <row r="246" spans="1:21" ht="17.25" customHeight="1">
      <c r="A246" s="16" t="s">
        <v>609</v>
      </c>
      <c r="B246" s="47" t="s">
        <v>114</v>
      </c>
      <c r="C246" s="47" t="s">
        <v>140</v>
      </c>
      <c r="D246" s="47" t="s">
        <v>571</v>
      </c>
      <c r="E246" s="47" t="s">
        <v>357</v>
      </c>
      <c r="F246" s="47"/>
      <c r="G246" s="61">
        <f>G247</f>
        <v>5469300</v>
      </c>
      <c r="H246" s="112"/>
      <c r="I246" s="61">
        <f>I247</f>
        <v>5469300</v>
      </c>
      <c r="J246" s="112"/>
      <c r="K246" s="75">
        <f>K247</f>
        <v>5469300</v>
      </c>
      <c r="L246" s="112"/>
      <c r="M246" s="75">
        <f>M247</f>
        <v>5469300</v>
      </c>
      <c r="N246" s="113"/>
      <c r="O246" s="75">
        <f>O247</f>
        <v>5469300</v>
      </c>
      <c r="P246" s="113"/>
      <c r="Q246" s="75">
        <f>Q247</f>
        <v>5886735</v>
      </c>
      <c r="R246" s="113"/>
      <c r="S246" s="75">
        <f t="shared" si="12"/>
        <v>5886735</v>
      </c>
      <c r="T246" s="75">
        <f t="shared" si="12"/>
        <v>5884663.19</v>
      </c>
      <c r="U246" s="56">
        <f t="shared" si="10"/>
        <v>100</v>
      </c>
    </row>
    <row r="247" spans="1:21" ht="32.25" customHeight="1">
      <c r="A247" s="16" t="s">
        <v>287</v>
      </c>
      <c r="B247" s="47" t="s">
        <v>114</v>
      </c>
      <c r="C247" s="47" t="s">
        <v>140</v>
      </c>
      <c r="D247" s="47" t="s">
        <v>610</v>
      </c>
      <c r="E247" s="47" t="s">
        <v>286</v>
      </c>
      <c r="F247" s="47"/>
      <c r="G247" s="61">
        <f>G248</f>
        <v>5469300</v>
      </c>
      <c r="H247" s="112"/>
      <c r="I247" s="61">
        <f>I248</f>
        <v>5469300</v>
      </c>
      <c r="J247" s="112"/>
      <c r="K247" s="75">
        <f>K248</f>
        <v>5469300</v>
      </c>
      <c r="L247" s="112"/>
      <c r="M247" s="75">
        <f>M248</f>
        <v>5469300</v>
      </c>
      <c r="N247" s="113"/>
      <c r="O247" s="75">
        <f>O248</f>
        <v>5469300</v>
      </c>
      <c r="P247" s="113"/>
      <c r="Q247" s="75">
        <f>Q248</f>
        <v>5886735</v>
      </c>
      <c r="R247" s="113"/>
      <c r="S247" s="75">
        <f t="shared" si="12"/>
        <v>5886735</v>
      </c>
      <c r="T247" s="75">
        <f t="shared" si="12"/>
        <v>5884663.19</v>
      </c>
      <c r="U247" s="56">
        <f t="shared" si="10"/>
        <v>100</v>
      </c>
    </row>
    <row r="248" spans="1:21" ht="32.25" customHeight="1">
      <c r="A248" s="16" t="s">
        <v>38</v>
      </c>
      <c r="B248" s="47" t="s">
        <v>114</v>
      </c>
      <c r="C248" s="47" t="s">
        <v>140</v>
      </c>
      <c r="D248" s="47" t="s">
        <v>610</v>
      </c>
      <c r="E248" s="47" t="s">
        <v>286</v>
      </c>
      <c r="F248" s="47" t="s">
        <v>72</v>
      </c>
      <c r="G248" s="74">
        <v>5469300</v>
      </c>
      <c r="H248" s="112"/>
      <c r="I248" s="74">
        <f>G248+H248</f>
        <v>5469300</v>
      </c>
      <c r="J248" s="112"/>
      <c r="K248" s="74">
        <f>I248+J248</f>
        <v>5469300</v>
      </c>
      <c r="L248" s="112"/>
      <c r="M248" s="74">
        <f>K248+L248</f>
        <v>5469300</v>
      </c>
      <c r="N248" s="113"/>
      <c r="O248" s="74">
        <f>M248+N248</f>
        <v>5469300</v>
      </c>
      <c r="P248" s="113">
        <v>417435</v>
      </c>
      <c r="Q248" s="74">
        <f>O248+P248</f>
        <v>5886735</v>
      </c>
      <c r="R248" s="113"/>
      <c r="S248" s="74">
        <f>Q248+R248</f>
        <v>5886735</v>
      </c>
      <c r="T248" s="74">
        <v>5884663.19</v>
      </c>
      <c r="U248" s="56">
        <f t="shared" si="10"/>
        <v>100</v>
      </c>
    </row>
    <row r="249" spans="1:21" ht="19.5" customHeight="1">
      <c r="A249" s="9" t="s">
        <v>158</v>
      </c>
      <c r="B249" s="45" t="s">
        <v>114</v>
      </c>
      <c r="C249" s="45">
        <v>1003</v>
      </c>
      <c r="D249" s="45"/>
      <c r="E249" s="45"/>
      <c r="F249" s="45"/>
      <c r="G249" s="60">
        <f>G261+G253+G274</f>
        <v>88812354.66</v>
      </c>
      <c r="H249" s="112"/>
      <c r="I249" s="60">
        <f>I250+I261+I253+I274</f>
        <v>88912354.66</v>
      </c>
      <c r="J249" s="112"/>
      <c r="K249" s="74">
        <f>K250+K261+K253+K274</f>
        <v>91423748.66</v>
      </c>
      <c r="L249" s="113"/>
      <c r="M249" s="74">
        <f>M250+M261+M253+M274</f>
        <v>91930048.66</v>
      </c>
      <c r="N249" s="113"/>
      <c r="O249" s="74">
        <f>O250+O261+O253+O274</f>
        <v>91930048.66</v>
      </c>
      <c r="P249" s="113"/>
      <c r="Q249" s="74">
        <f>Q250+Q261+Q253+Q274</f>
        <v>93568873.66</v>
      </c>
      <c r="R249" s="113"/>
      <c r="S249" s="74">
        <f>S250+S261+S253+S274</f>
        <v>98554545.66</v>
      </c>
      <c r="T249" s="74">
        <f>T250+T261+T253+T274</f>
        <v>94233142.37999998</v>
      </c>
      <c r="U249" s="56">
        <f t="shared" si="10"/>
        <v>95.6</v>
      </c>
    </row>
    <row r="250" spans="1:21" ht="19.5" customHeight="1">
      <c r="A250" s="16" t="s">
        <v>609</v>
      </c>
      <c r="B250" s="47" t="s">
        <v>114</v>
      </c>
      <c r="C250" s="47" t="s">
        <v>122</v>
      </c>
      <c r="D250" s="47" t="s">
        <v>571</v>
      </c>
      <c r="E250" s="47" t="s">
        <v>357</v>
      </c>
      <c r="F250" s="45"/>
      <c r="G250" s="60"/>
      <c r="H250" s="112"/>
      <c r="I250" s="60">
        <f>I251</f>
        <v>100000</v>
      </c>
      <c r="J250" s="112"/>
      <c r="K250" s="74">
        <f>K251</f>
        <v>100000</v>
      </c>
      <c r="L250" s="112"/>
      <c r="M250" s="74">
        <f>M251</f>
        <v>100000</v>
      </c>
      <c r="N250" s="113"/>
      <c r="O250" s="74">
        <f>O251</f>
        <v>100000</v>
      </c>
      <c r="P250" s="113"/>
      <c r="Q250" s="74">
        <f>Q251</f>
        <v>100000</v>
      </c>
      <c r="R250" s="113"/>
      <c r="S250" s="74">
        <f>S251</f>
        <v>100000</v>
      </c>
      <c r="T250" s="74">
        <f>T251</f>
        <v>79900</v>
      </c>
      <c r="U250" s="56">
        <f t="shared" si="10"/>
        <v>79.9</v>
      </c>
    </row>
    <row r="251" spans="1:21" ht="19.5" customHeight="1">
      <c r="A251" s="118" t="s">
        <v>9</v>
      </c>
      <c r="B251" s="45" t="s">
        <v>114</v>
      </c>
      <c r="C251" s="45">
        <v>1003</v>
      </c>
      <c r="D251" s="45"/>
      <c r="E251" s="45" t="s">
        <v>358</v>
      </c>
      <c r="F251" s="45"/>
      <c r="G251" s="60"/>
      <c r="H251" s="112"/>
      <c r="I251" s="60">
        <f>I252</f>
        <v>100000</v>
      </c>
      <c r="J251" s="112"/>
      <c r="K251" s="74">
        <f>K252</f>
        <v>100000</v>
      </c>
      <c r="L251" s="112"/>
      <c r="M251" s="74">
        <f>M252</f>
        <v>100000</v>
      </c>
      <c r="N251" s="113"/>
      <c r="O251" s="74">
        <f>O252</f>
        <v>100000</v>
      </c>
      <c r="P251" s="113"/>
      <c r="Q251" s="74">
        <f>Q252</f>
        <v>100000</v>
      </c>
      <c r="R251" s="113"/>
      <c r="S251" s="74">
        <f>S252</f>
        <v>100000</v>
      </c>
      <c r="T251" s="74">
        <f>T252</f>
        <v>79900</v>
      </c>
      <c r="U251" s="56">
        <f t="shared" si="10"/>
        <v>79.9</v>
      </c>
    </row>
    <row r="252" spans="1:21" ht="48" customHeight="1">
      <c r="A252" s="32" t="s">
        <v>46</v>
      </c>
      <c r="B252" s="45" t="s">
        <v>114</v>
      </c>
      <c r="C252" s="45">
        <v>1003</v>
      </c>
      <c r="D252" s="45"/>
      <c r="E252" s="45" t="s">
        <v>358</v>
      </c>
      <c r="F252" s="45" t="s">
        <v>73</v>
      </c>
      <c r="G252" s="60"/>
      <c r="H252" s="112">
        <v>100000</v>
      </c>
      <c r="I252" s="60">
        <f>G252+H252</f>
        <v>100000</v>
      </c>
      <c r="J252" s="112"/>
      <c r="K252" s="74">
        <f>I252+J252</f>
        <v>100000</v>
      </c>
      <c r="L252" s="112"/>
      <c r="M252" s="74">
        <f>K252+L252</f>
        <v>100000</v>
      </c>
      <c r="N252" s="113"/>
      <c r="O252" s="74">
        <f>M252+N252</f>
        <v>100000</v>
      </c>
      <c r="P252" s="113"/>
      <c r="Q252" s="74">
        <f>O252+P252</f>
        <v>100000</v>
      </c>
      <c r="R252" s="113"/>
      <c r="S252" s="74">
        <f>Q252+R252</f>
        <v>100000</v>
      </c>
      <c r="T252" s="74">
        <v>79900</v>
      </c>
      <c r="U252" s="56">
        <f t="shared" si="10"/>
        <v>79.9</v>
      </c>
    </row>
    <row r="253" spans="1:21" ht="95.25" customHeight="1">
      <c r="A253" s="24" t="s">
        <v>717</v>
      </c>
      <c r="B253" s="47" t="s">
        <v>114</v>
      </c>
      <c r="C253" s="47" t="s">
        <v>122</v>
      </c>
      <c r="D253" s="47" t="s">
        <v>600</v>
      </c>
      <c r="E253" s="47" t="s">
        <v>401</v>
      </c>
      <c r="F253" s="47"/>
      <c r="G253" s="60">
        <f>G254</f>
        <v>397000</v>
      </c>
      <c r="H253" s="112"/>
      <c r="I253" s="60">
        <f>I254</f>
        <v>397000</v>
      </c>
      <c r="J253" s="112"/>
      <c r="K253" s="74">
        <f>K254</f>
        <v>397000</v>
      </c>
      <c r="L253" s="112"/>
      <c r="M253" s="74">
        <f>M254</f>
        <v>903300</v>
      </c>
      <c r="N253" s="113"/>
      <c r="O253" s="74">
        <f>O254</f>
        <v>903300</v>
      </c>
      <c r="P253" s="113"/>
      <c r="Q253" s="74">
        <f>Q254</f>
        <v>903300</v>
      </c>
      <c r="R253" s="113"/>
      <c r="S253" s="74">
        <f>S254</f>
        <v>793260</v>
      </c>
      <c r="T253" s="74">
        <f>T254</f>
        <v>793260</v>
      </c>
      <c r="U253" s="56">
        <f t="shared" si="10"/>
        <v>100</v>
      </c>
    </row>
    <row r="254" spans="1:21" ht="47.25" customHeight="1">
      <c r="A254" s="32" t="s">
        <v>606</v>
      </c>
      <c r="B254" s="47" t="s">
        <v>114</v>
      </c>
      <c r="C254" s="47" t="s">
        <v>122</v>
      </c>
      <c r="D254" s="47" t="s">
        <v>673</v>
      </c>
      <c r="E254" s="47" t="s">
        <v>273</v>
      </c>
      <c r="F254" s="47"/>
      <c r="G254" s="60">
        <f>G255</f>
        <v>397000</v>
      </c>
      <c r="H254" s="112"/>
      <c r="I254" s="60">
        <f>I255</f>
        <v>397000</v>
      </c>
      <c r="J254" s="112"/>
      <c r="K254" s="74">
        <f>K255</f>
        <v>397000</v>
      </c>
      <c r="L254" s="112"/>
      <c r="M254" s="74">
        <f>M255</f>
        <v>903300</v>
      </c>
      <c r="N254" s="113"/>
      <c r="O254" s="74">
        <f>O255</f>
        <v>903300</v>
      </c>
      <c r="P254" s="113"/>
      <c r="Q254" s="74">
        <f>Q255</f>
        <v>903300</v>
      </c>
      <c r="R254" s="113"/>
      <c r="S254" s="74">
        <f>S255</f>
        <v>793260</v>
      </c>
      <c r="T254" s="74">
        <f>T255</f>
        <v>793260</v>
      </c>
      <c r="U254" s="56">
        <f t="shared" si="10"/>
        <v>100</v>
      </c>
    </row>
    <row r="255" spans="1:21" ht="48" customHeight="1">
      <c r="A255" s="32" t="s">
        <v>722</v>
      </c>
      <c r="B255" s="47" t="s">
        <v>114</v>
      </c>
      <c r="C255" s="47" t="s">
        <v>122</v>
      </c>
      <c r="D255" s="47" t="s">
        <v>672</v>
      </c>
      <c r="E255" s="47" t="s">
        <v>274</v>
      </c>
      <c r="F255" s="47"/>
      <c r="G255" s="60">
        <f>G256</f>
        <v>397000</v>
      </c>
      <c r="H255" s="112"/>
      <c r="I255" s="60">
        <f>I256</f>
        <v>397000</v>
      </c>
      <c r="J255" s="112"/>
      <c r="K255" s="74">
        <f>K256</f>
        <v>397000</v>
      </c>
      <c r="L255" s="112"/>
      <c r="M255" s="74">
        <f>M256+M257+M259</f>
        <v>903300</v>
      </c>
      <c r="N255" s="113"/>
      <c r="O255" s="74">
        <f>O256+O257+O259</f>
        <v>903300</v>
      </c>
      <c r="P255" s="113"/>
      <c r="Q255" s="74">
        <f>Q256+Q257+Q259</f>
        <v>903300</v>
      </c>
      <c r="R255" s="113"/>
      <c r="S255" s="74">
        <f>S256+S257+S259</f>
        <v>793260</v>
      </c>
      <c r="T255" s="74">
        <f>T256+T257+T259</f>
        <v>793260</v>
      </c>
      <c r="U255" s="56">
        <f t="shared" si="10"/>
        <v>100</v>
      </c>
    </row>
    <row r="256" spans="1:21" ht="45.75" customHeight="1">
      <c r="A256" s="32" t="s">
        <v>46</v>
      </c>
      <c r="B256" s="47" t="s">
        <v>114</v>
      </c>
      <c r="C256" s="47" t="s">
        <v>122</v>
      </c>
      <c r="D256" s="47" t="s">
        <v>672</v>
      </c>
      <c r="E256" s="47" t="s">
        <v>274</v>
      </c>
      <c r="F256" s="47" t="s">
        <v>73</v>
      </c>
      <c r="G256" s="74">
        <v>397000</v>
      </c>
      <c r="H256" s="112"/>
      <c r="I256" s="74">
        <f>G256+H256</f>
        <v>397000</v>
      </c>
      <c r="J256" s="112"/>
      <c r="K256" s="74">
        <f>I256+J256</f>
        <v>397000</v>
      </c>
      <c r="L256" s="112"/>
      <c r="M256" s="74">
        <f>K256+L256</f>
        <v>397000</v>
      </c>
      <c r="N256" s="113"/>
      <c r="O256" s="74">
        <f>M256+N256</f>
        <v>397000</v>
      </c>
      <c r="P256" s="113"/>
      <c r="Q256" s="74">
        <f>O256+P256</f>
        <v>397000</v>
      </c>
      <c r="R256" s="113">
        <v>-110040</v>
      </c>
      <c r="S256" s="74">
        <f>Q256+R256</f>
        <v>286960</v>
      </c>
      <c r="T256" s="74">
        <v>286960</v>
      </c>
      <c r="U256" s="56">
        <f t="shared" si="10"/>
        <v>100</v>
      </c>
    </row>
    <row r="257" spans="1:21" ht="60.75" customHeight="1">
      <c r="A257" s="32" t="s">
        <v>711</v>
      </c>
      <c r="B257" s="47" t="s">
        <v>114</v>
      </c>
      <c r="C257" s="47" t="s">
        <v>122</v>
      </c>
      <c r="D257" s="47"/>
      <c r="E257" s="47" t="s">
        <v>710</v>
      </c>
      <c r="F257" s="47"/>
      <c r="G257" s="74"/>
      <c r="H257" s="112"/>
      <c r="I257" s="74"/>
      <c r="J257" s="112"/>
      <c r="K257" s="74"/>
      <c r="L257" s="112"/>
      <c r="M257" s="74">
        <f>M258</f>
        <v>259500</v>
      </c>
      <c r="N257" s="113"/>
      <c r="O257" s="74">
        <f>O258</f>
        <v>259500</v>
      </c>
      <c r="P257" s="113"/>
      <c r="Q257" s="74">
        <f>Q258</f>
        <v>259500</v>
      </c>
      <c r="R257" s="113"/>
      <c r="S257" s="74">
        <f>S258</f>
        <v>259500</v>
      </c>
      <c r="T257" s="74">
        <f>T258</f>
        <v>259500</v>
      </c>
      <c r="U257" s="56">
        <f t="shared" si="10"/>
        <v>100</v>
      </c>
    </row>
    <row r="258" spans="1:21" ht="45.75" customHeight="1">
      <c r="A258" s="32" t="s">
        <v>46</v>
      </c>
      <c r="B258" s="47" t="s">
        <v>114</v>
      </c>
      <c r="C258" s="47" t="s">
        <v>122</v>
      </c>
      <c r="D258" s="47"/>
      <c r="E258" s="47" t="s">
        <v>710</v>
      </c>
      <c r="F258" s="47" t="s">
        <v>73</v>
      </c>
      <c r="G258" s="74"/>
      <c r="H258" s="112"/>
      <c r="I258" s="74"/>
      <c r="J258" s="112"/>
      <c r="K258" s="74"/>
      <c r="L258" s="112">
        <v>259500</v>
      </c>
      <c r="M258" s="74">
        <f>K258+L258</f>
        <v>259500</v>
      </c>
      <c r="N258" s="113"/>
      <c r="O258" s="74">
        <f>M258+N258</f>
        <v>259500</v>
      </c>
      <c r="P258" s="113"/>
      <c r="Q258" s="74">
        <f>O258+P258</f>
        <v>259500</v>
      </c>
      <c r="R258" s="113"/>
      <c r="S258" s="74">
        <f>Q258+R258</f>
        <v>259500</v>
      </c>
      <c r="T258" s="74">
        <f>R258+S258</f>
        <v>259500</v>
      </c>
      <c r="U258" s="56">
        <f t="shared" si="10"/>
        <v>100</v>
      </c>
    </row>
    <row r="259" spans="1:21" ht="62.25" customHeight="1">
      <c r="A259" s="32" t="s">
        <v>712</v>
      </c>
      <c r="B259" s="47" t="s">
        <v>114</v>
      </c>
      <c r="C259" s="47" t="s">
        <v>122</v>
      </c>
      <c r="D259" s="47"/>
      <c r="E259" s="47" t="s">
        <v>709</v>
      </c>
      <c r="F259" s="47"/>
      <c r="G259" s="74"/>
      <c r="H259" s="112"/>
      <c r="I259" s="74"/>
      <c r="J259" s="112"/>
      <c r="K259" s="74"/>
      <c r="L259" s="112"/>
      <c r="M259" s="74">
        <f>M260</f>
        <v>246800</v>
      </c>
      <c r="N259" s="113"/>
      <c r="O259" s="74">
        <f>O260</f>
        <v>246800</v>
      </c>
      <c r="P259" s="113"/>
      <c r="Q259" s="74">
        <f>Q260</f>
        <v>246800</v>
      </c>
      <c r="R259" s="113"/>
      <c r="S259" s="74">
        <f>S260</f>
        <v>246800</v>
      </c>
      <c r="T259" s="74">
        <f>T260</f>
        <v>246800</v>
      </c>
      <c r="U259" s="56">
        <f t="shared" si="10"/>
        <v>100</v>
      </c>
    </row>
    <row r="260" spans="1:21" ht="45.75" customHeight="1">
      <c r="A260" s="32" t="s">
        <v>46</v>
      </c>
      <c r="B260" s="47" t="s">
        <v>114</v>
      </c>
      <c r="C260" s="47" t="s">
        <v>122</v>
      </c>
      <c r="D260" s="47"/>
      <c r="E260" s="47" t="s">
        <v>709</v>
      </c>
      <c r="F260" s="47" t="s">
        <v>73</v>
      </c>
      <c r="G260" s="74"/>
      <c r="H260" s="112"/>
      <c r="I260" s="74"/>
      <c r="J260" s="112"/>
      <c r="K260" s="74"/>
      <c r="L260" s="112">
        <v>246800</v>
      </c>
      <c r="M260" s="74">
        <f>K260+L260</f>
        <v>246800</v>
      </c>
      <c r="N260" s="113"/>
      <c r="O260" s="74">
        <f>M260+N260</f>
        <v>246800</v>
      </c>
      <c r="P260" s="113"/>
      <c r="Q260" s="74">
        <f>O260+P260</f>
        <v>246800</v>
      </c>
      <c r="R260" s="113"/>
      <c r="S260" s="74">
        <f>Q260+R260</f>
        <v>246800</v>
      </c>
      <c r="T260" s="74">
        <f>R260+S260</f>
        <v>246800</v>
      </c>
      <c r="U260" s="56">
        <f t="shared" si="10"/>
        <v>100</v>
      </c>
    </row>
    <row r="261" spans="1:21" ht="94.5" customHeight="1">
      <c r="A261" s="20" t="s">
        <v>231</v>
      </c>
      <c r="B261" s="45" t="s">
        <v>114</v>
      </c>
      <c r="C261" s="45">
        <v>1003</v>
      </c>
      <c r="D261" s="45" t="s">
        <v>94</v>
      </c>
      <c r="E261" s="45" t="s">
        <v>368</v>
      </c>
      <c r="F261" s="45"/>
      <c r="G261" s="60">
        <f>G262</f>
        <v>87830354.66</v>
      </c>
      <c r="H261" s="112"/>
      <c r="I261" s="60">
        <f>I262</f>
        <v>87830354.66</v>
      </c>
      <c r="J261" s="112"/>
      <c r="K261" s="74">
        <f>K262</f>
        <v>88362448.66</v>
      </c>
      <c r="L261" s="112"/>
      <c r="M261" s="74">
        <f>M262</f>
        <v>88362448.66</v>
      </c>
      <c r="N261" s="113"/>
      <c r="O261" s="74">
        <f>O262</f>
        <v>88362448.66</v>
      </c>
      <c r="P261" s="113"/>
      <c r="Q261" s="74">
        <f>Q262</f>
        <v>90001273.66</v>
      </c>
      <c r="R261" s="113"/>
      <c r="S261" s="74">
        <f>S262</f>
        <v>95096985.66</v>
      </c>
      <c r="T261" s="74">
        <f>T262</f>
        <v>90795682.37999998</v>
      </c>
      <c r="U261" s="56">
        <f t="shared" si="10"/>
        <v>95.5</v>
      </c>
    </row>
    <row r="262" spans="1:21" ht="95.25" customHeight="1">
      <c r="A262" s="20" t="s">
        <v>652</v>
      </c>
      <c r="B262" s="45" t="s">
        <v>114</v>
      </c>
      <c r="C262" s="45" t="s">
        <v>122</v>
      </c>
      <c r="D262" s="45" t="s">
        <v>327</v>
      </c>
      <c r="E262" s="45" t="s">
        <v>270</v>
      </c>
      <c r="F262" s="45"/>
      <c r="G262" s="60">
        <f>G263+G266+G269</f>
        <v>87830354.66</v>
      </c>
      <c r="H262" s="112"/>
      <c r="I262" s="60">
        <f>I263+I266+I269</f>
        <v>87830354.66</v>
      </c>
      <c r="J262" s="112"/>
      <c r="K262" s="74">
        <f>K263+K266+K269</f>
        <v>88362448.66</v>
      </c>
      <c r="L262" s="112"/>
      <c r="M262" s="74">
        <f>M263+M266+M269</f>
        <v>88362448.66</v>
      </c>
      <c r="N262" s="113"/>
      <c r="O262" s="74">
        <f>O263+O266+O269</f>
        <v>88362448.66</v>
      </c>
      <c r="P262" s="113"/>
      <c r="Q262" s="74">
        <f>Q263+Q266+Q269</f>
        <v>90001273.66</v>
      </c>
      <c r="R262" s="113"/>
      <c r="S262" s="74">
        <f>S263+S266+S269+S272</f>
        <v>95096985.66</v>
      </c>
      <c r="T262" s="74">
        <f>T263+T266+T269+T272</f>
        <v>90795682.37999998</v>
      </c>
      <c r="U262" s="56">
        <f t="shared" si="10"/>
        <v>95.5</v>
      </c>
    </row>
    <row r="263" spans="1:21" ht="95.25" customHeight="1">
      <c r="A263" s="20" t="s">
        <v>289</v>
      </c>
      <c r="B263" s="45" t="s">
        <v>114</v>
      </c>
      <c r="C263" s="45" t="s">
        <v>122</v>
      </c>
      <c r="D263" s="45" t="s">
        <v>328</v>
      </c>
      <c r="E263" s="45" t="s">
        <v>275</v>
      </c>
      <c r="F263" s="45"/>
      <c r="G263" s="60">
        <f>G265+G264</f>
        <v>9770654.66</v>
      </c>
      <c r="H263" s="112"/>
      <c r="I263" s="60">
        <f>I265+I264</f>
        <v>9770654.66</v>
      </c>
      <c r="J263" s="112"/>
      <c r="K263" s="74">
        <f>K265+K264</f>
        <v>9770654.66</v>
      </c>
      <c r="L263" s="112"/>
      <c r="M263" s="74">
        <f>M265+M264</f>
        <v>9770654.66</v>
      </c>
      <c r="N263" s="113"/>
      <c r="O263" s="74">
        <f>O265+O264</f>
        <v>9770654.66</v>
      </c>
      <c r="P263" s="113"/>
      <c r="Q263" s="74">
        <f>Q265+Q264</f>
        <v>9770654.66</v>
      </c>
      <c r="R263" s="113"/>
      <c r="S263" s="74">
        <f>S265+S264</f>
        <v>9842039.66</v>
      </c>
      <c r="T263" s="74">
        <f>T265+T264</f>
        <v>9607907.11</v>
      </c>
      <c r="U263" s="56">
        <f t="shared" si="10"/>
        <v>97.6</v>
      </c>
    </row>
    <row r="264" spans="1:21" ht="37.5" customHeight="1">
      <c r="A264" s="92" t="s">
        <v>68</v>
      </c>
      <c r="B264" s="45" t="s">
        <v>114</v>
      </c>
      <c r="C264" s="45" t="s">
        <v>122</v>
      </c>
      <c r="D264" s="45" t="s">
        <v>328</v>
      </c>
      <c r="E264" s="45" t="s">
        <v>275</v>
      </c>
      <c r="F264" s="45" t="s">
        <v>59</v>
      </c>
      <c r="G264" s="74">
        <v>144400</v>
      </c>
      <c r="H264" s="112"/>
      <c r="I264" s="74">
        <f>G264+H264</f>
        <v>144400</v>
      </c>
      <c r="J264" s="112"/>
      <c r="K264" s="74">
        <f>I264+J264</f>
        <v>144400</v>
      </c>
      <c r="L264" s="112"/>
      <c r="M264" s="74">
        <f>K264+L264</f>
        <v>144400</v>
      </c>
      <c r="N264" s="113"/>
      <c r="O264" s="74">
        <f>M264+N264</f>
        <v>144400</v>
      </c>
      <c r="P264" s="113"/>
      <c r="Q264" s="74">
        <f>O264+P264</f>
        <v>144400</v>
      </c>
      <c r="R264" s="113">
        <v>1116</v>
      </c>
      <c r="S264" s="74">
        <f>Q264+R264</f>
        <v>145516</v>
      </c>
      <c r="T264" s="74">
        <v>141971.1</v>
      </c>
      <c r="U264" s="56">
        <f t="shared" si="10"/>
        <v>97.6</v>
      </c>
    </row>
    <row r="265" spans="1:21" ht="33" customHeight="1">
      <c r="A265" s="16" t="s">
        <v>38</v>
      </c>
      <c r="B265" s="45" t="s">
        <v>114</v>
      </c>
      <c r="C265" s="45" t="s">
        <v>122</v>
      </c>
      <c r="D265" s="45" t="s">
        <v>328</v>
      </c>
      <c r="E265" s="45" t="s">
        <v>275</v>
      </c>
      <c r="F265" s="45" t="s">
        <v>72</v>
      </c>
      <c r="G265" s="74">
        <f>10515000-888745.34</f>
        <v>9626254.66</v>
      </c>
      <c r="H265" s="112"/>
      <c r="I265" s="74">
        <f>G265+H265</f>
        <v>9626254.66</v>
      </c>
      <c r="J265" s="112"/>
      <c r="K265" s="74">
        <f>I265+J265</f>
        <v>9626254.66</v>
      </c>
      <c r="L265" s="112"/>
      <c r="M265" s="74">
        <f>K265+L265</f>
        <v>9626254.66</v>
      </c>
      <c r="N265" s="113"/>
      <c r="O265" s="74">
        <f>M265+N265</f>
        <v>9626254.66</v>
      </c>
      <c r="P265" s="113"/>
      <c r="Q265" s="74">
        <f>O265+P265</f>
        <v>9626254.66</v>
      </c>
      <c r="R265" s="113">
        <f>74429-4160</f>
        <v>70269</v>
      </c>
      <c r="S265" s="74">
        <f>Q265+R265</f>
        <v>9696523.66</v>
      </c>
      <c r="T265" s="74">
        <v>9465936.01</v>
      </c>
      <c r="U265" s="56">
        <f t="shared" si="10"/>
        <v>97.6</v>
      </c>
    </row>
    <row r="266" spans="1:21" ht="107.25" customHeight="1">
      <c r="A266" s="20" t="s">
        <v>290</v>
      </c>
      <c r="B266" s="45" t="s">
        <v>114</v>
      </c>
      <c r="C266" s="45">
        <v>1003</v>
      </c>
      <c r="D266" s="45" t="s">
        <v>329</v>
      </c>
      <c r="E266" s="45" t="s">
        <v>276</v>
      </c>
      <c r="F266" s="45"/>
      <c r="G266" s="60">
        <f>G267+G268</f>
        <v>67568700</v>
      </c>
      <c r="H266" s="112"/>
      <c r="I266" s="60">
        <f>I267+I268</f>
        <v>67568700</v>
      </c>
      <c r="J266" s="112"/>
      <c r="K266" s="74">
        <f>K267+K268</f>
        <v>68100794</v>
      </c>
      <c r="L266" s="112"/>
      <c r="M266" s="74">
        <f>M267+M268</f>
        <v>68100794</v>
      </c>
      <c r="N266" s="113"/>
      <c r="O266" s="74">
        <f>O267+O268</f>
        <v>68100794</v>
      </c>
      <c r="P266" s="113"/>
      <c r="Q266" s="74">
        <f>Q267+Q268</f>
        <v>69739619</v>
      </c>
      <c r="R266" s="113"/>
      <c r="S266" s="74">
        <f>S267+S268</f>
        <v>74759146</v>
      </c>
      <c r="T266" s="74">
        <f>T267+T268</f>
        <v>72726221.41999999</v>
      </c>
      <c r="U266" s="56">
        <f t="shared" si="10"/>
        <v>97.3</v>
      </c>
    </row>
    <row r="267" spans="1:21" ht="33.75" customHeight="1">
      <c r="A267" s="16" t="s">
        <v>38</v>
      </c>
      <c r="B267" s="45" t="s">
        <v>114</v>
      </c>
      <c r="C267" s="45">
        <v>1003</v>
      </c>
      <c r="D267" s="45" t="s">
        <v>329</v>
      </c>
      <c r="E267" s="45" t="s">
        <v>276</v>
      </c>
      <c r="F267" s="45" t="s">
        <v>72</v>
      </c>
      <c r="G267" s="60">
        <f>66555170-280470</f>
        <v>66274700</v>
      </c>
      <c r="H267" s="112"/>
      <c r="I267" s="60">
        <f>G267+H267</f>
        <v>66274700</v>
      </c>
      <c r="J267" s="112">
        <v>524230</v>
      </c>
      <c r="K267" s="74">
        <f>I267+J267</f>
        <v>66798930</v>
      </c>
      <c r="L267" s="112"/>
      <c r="M267" s="74">
        <f>K267+L267</f>
        <v>66798930</v>
      </c>
      <c r="N267" s="113"/>
      <c r="O267" s="74">
        <f>M267+N267</f>
        <v>66798930</v>
      </c>
      <c r="P267" s="113">
        <f>234677+3574+1397000</f>
        <v>1635251</v>
      </c>
      <c r="Q267" s="74">
        <f>O267+P267</f>
        <v>68434181</v>
      </c>
      <c r="R267" s="113">
        <v>5019527</v>
      </c>
      <c r="S267" s="74">
        <f>Q267+R267</f>
        <v>73453708</v>
      </c>
      <c r="T267" s="74">
        <v>71649659.6</v>
      </c>
      <c r="U267" s="56">
        <f t="shared" si="10"/>
        <v>97.5</v>
      </c>
    </row>
    <row r="268" spans="1:21" ht="35.25" customHeight="1">
      <c r="A268" s="92" t="s">
        <v>68</v>
      </c>
      <c r="B268" s="45" t="s">
        <v>114</v>
      </c>
      <c r="C268" s="45" t="s">
        <v>122</v>
      </c>
      <c r="D268" s="45" t="s">
        <v>329</v>
      </c>
      <c r="E268" s="45" t="s">
        <v>276</v>
      </c>
      <c r="F268" s="45" t="s">
        <v>59</v>
      </c>
      <c r="G268" s="60">
        <f>1013530+280470</f>
        <v>1294000</v>
      </c>
      <c r="H268" s="112"/>
      <c r="I268" s="60">
        <f>G268+H268</f>
        <v>1294000</v>
      </c>
      <c r="J268" s="112">
        <v>7864</v>
      </c>
      <c r="K268" s="74">
        <f>I268+J268</f>
        <v>1301864</v>
      </c>
      <c r="L268" s="112"/>
      <c r="M268" s="74">
        <f>K268+L268</f>
        <v>1301864</v>
      </c>
      <c r="N268" s="113"/>
      <c r="O268" s="74">
        <f>M268+N268</f>
        <v>1301864</v>
      </c>
      <c r="P268" s="113">
        <f>-234677+238251</f>
        <v>3574</v>
      </c>
      <c r="Q268" s="74">
        <f>O268+P268</f>
        <v>1305438</v>
      </c>
      <c r="R268" s="113"/>
      <c r="S268" s="74">
        <f>Q268+R268</f>
        <v>1305438</v>
      </c>
      <c r="T268" s="74">
        <v>1076561.82</v>
      </c>
      <c r="U268" s="56">
        <f t="shared" si="10"/>
        <v>82.5</v>
      </c>
    </row>
    <row r="269" spans="1:21" ht="94.5" customHeight="1">
      <c r="A269" s="20" t="s">
        <v>291</v>
      </c>
      <c r="B269" s="45" t="s">
        <v>114</v>
      </c>
      <c r="C269" s="45" t="s">
        <v>122</v>
      </c>
      <c r="D269" s="45" t="s">
        <v>330</v>
      </c>
      <c r="E269" s="45" t="s">
        <v>277</v>
      </c>
      <c r="F269" s="45"/>
      <c r="G269" s="60">
        <f>G270+G271</f>
        <v>10491000</v>
      </c>
      <c r="H269" s="112"/>
      <c r="I269" s="60">
        <f>I270+I271</f>
        <v>10491000</v>
      </c>
      <c r="J269" s="112"/>
      <c r="K269" s="74">
        <f>K270+K271</f>
        <v>10491000</v>
      </c>
      <c r="L269" s="112"/>
      <c r="M269" s="74">
        <f>M270+M271</f>
        <v>10491000</v>
      </c>
      <c r="N269" s="113"/>
      <c r="O269" s="74">
        <f>O270+O271</f>
        <v>10491000</v>
      </c>
      <c r="P269" s="113"/>
      <c r="Q269" s="74">
        <f>Q270+Q271</f>
        <v>10491000</v>
      </c>
      <c r="R269" s="113"/>
      <c r="S269" s="74">
        <f>S270+S271</f>
        <v>10491000</v>
      </c>
      <c r="T269" s="74">
        <f>T270+T271</f>
        <v>8461553.85</v>
      </c>
      <c r="U269" s="56">
        <f aca="true" t="shared" si="13" ref="U269:U332">IF(S269=0,"-",IF(T269/S269*100&gt;110,"свыше 100",ROUND((T269/S269*100),1)))</f>
        <v>80.7</v>
      </c>
    </row>
    <row r="270" spans="1:21" ht="31.5" customHeight="1">
      <c r="A270" s="16" t="s">
        <v>38</v>
      </c>
      <c r="B270" s="47" t="s">
        <v>114</v>
      </c>
      <c r="C270" s="47" t="s">
        <v>122</v>
      </c>
      <c r="D270" s="47" t="s">
        <v>330</v>
      </c>
      <c r="E270" s="47" t="s">
        <v>277</v>
      </c>
      <c r="F270" s="45" t="s">
        <v>72</v>
      </c>
      <c r="G270" s="74">
        <v>10333635</v>
      </c>
      <c r="H270" s="112"/>
      <c r="I270" s="74">
        <f>G270+H270</f>
        <v>10333635</v>
      </c>
      <c r="J270" s="112"/>
      <c r="K270" s="74">
        <f>I270+J270</f>
        <v>10333635</v>
      </c>
      <c r="L270" s="112"/>
      <c r="M270" s="74">
        <f>K270+L270</f>
        <v>10333635</v>
      </c>
      <c r="N270" s="113"/>
      <c r="O270" s="74">
        <f>M270+N270</f>
        <v>10333635</v>
      </c>
      <c r="P270" s="113"/>
      <c r="Q270" s="74">
        <f>O270+P270</f>
        <v>10333635</v>
      </c>
      <c r="R270" s="113"/>
      <c r="S270" s="74">
        <f>Q270+R270</f>
        <v>10333635</v>
      </c>
      <c r="T270" s="74">
        <v>8349907.62</v>
      </c>
      <c r="U270" s="56">
        <f t="shared" si="13"/>
        <v>80.8</v>
      </c>
    </row>
    <row r="271" spans="1:25" s="7" customFormat="1" ht="40.5" customHeight="1">
      <c r="A271" s="92" t="s">
        <v>68</v>
      </c>
      <c r="B271" s="47" t="s">
        <v>114</v>
      </c>
      <c r="C271" s="47" t="s">
        <v>122</v>
      </c>
      <c r="D271" s="47" t="s">
        <v>330</v>
      </c>
      <c r="E271" s="47" t="s">
        <v>277</v>
      </c>
      <c r="F271" s="47" t="s">
        <v>59</v>
      </c>
      <c r="G271" s="74">
        <v>157365</v>
      </c>
      <c r="H271" s="114"/>
      <c r="I271" s="74">
        <f>G271+H271</f>
        <v>157365</v>
      </c>
      <c r="J271" s="114"/>
      <c r="K271" s="74">
        <f>I271+J271</f>
        <v>157365</v>
      </c>
      <c r="L271" s="114"/>
      <c r="M271" s="74">
        <f>K271+L271</f>
        <v>157365</v>
      </c>
      <c r="N271" s="131"/>
      <c r="O271" s="74">
        <f>M271+N271</f>
        <v>157365</v>
      </c>
      <c r="P271" s="131"/>
      <c r="Q271" s="74">
        <f>O271+P271</f>
        <v>157365</v>
      </c>
      <c r="R271" s="131"/>
      <c r="S271" s="74">
        <f>Q271+R271</f>
        <v>157365</v>
      </c>
      <c r="T271" s="74">
        <v>111646.23</v>
      </c>
      <c r="U271" s="56">
        <f t="shared" si="13"/>
        <v>70.9</v>
      </c>
      <c r="V271" s="6"/>
      <c r="W271" s="6"/>
      <c r="X271" s="6"/>
      <c r="Y271" s="6"/>
    </row>
    <row r="272" spans="1:25" s="7" customFormat="1" ht="81.75" customHeight="1">
      <c r="A272" s="27" t="s">
        <v>306</v>
      </c>
      <c r="B272" s="47" t="s">
        <v>114</v>
      </c>
      <c r="C272" s="47" t="s">
        <v>122</v>
      </c>
      <c r="D272" s="47"/>
      <c r="E272" s="47" t="s">
        <v>305</v>
      </c>
      <c r="F272" s="47"/>
      <c r="G272" s="74"/>
      <c r="H272" s="114"/>
      <c r="I272" s="74"/>
      <c r="J272" s="114"/>
      <c r="K272" s="74"/>
      <c r="L272" s="114"/>
      <c r="M272" s="74"/>
      <c r="N272" s="131"/>
      <c r="O272" s="74"/>
      <c r="P272" s="131"/>
      <c r="Q272" s="74"/>
      <c r="R272" s="131"/>
      <c r="S272" s="74">
        <f>S273</f>
        <v>4800</v>
      </c>
      <c r="T272" s="74">
        <f>T273</f>
        <v>0</v>
      </c>
      <c r="U272" s="56">
        <f t="shared" si="13"/>
        <v>0</v>
      </c>
      <c r="V272" s="6"/>
      <c r="W272" s="6"/>
      <c r="X272" s="6"/>
      <c r="Y272" s="6"/>
    </row>
    <row r="273" spans="1:25" s="7" customFormat="1" ht="35.25" customHeight="1">
      <c r="A273" s="16" t="s">
        <v>38</v>
      </c>
      <c r="B273" s="47" t="s">
        <v>114</v>
      </c>
      <c r="C273" s="47" t="s">
        <v>122</v>
      </c>
      <c r="D273" s="47"/>
      <c r="E273" s="47" t="s">
        <v>305</v>
      </c>
      <c r="F273" s="47" t="s">
        <v>72</v>
      </c>
      <c r="G273" s="74"/>
      <c r="H273" s="114"/>
      <c r="I273" s="74"/>
      <c r="J273" s="114"/>
      <c r="K273" s="74"/>
      <c r="L273" s="114"/>
      <c r="M273" s="74"/>
      <c r="N273" s="131"/>
      <c r="O273" s="74"/>
      <c r="P273" s="131"/>
      <c r="Q273" s="74"/>
      <c r="R273" s="131">
        <v>4800</v>
      </c>
      <c r="S273" s="74">
        <f>Q273+R273</f>
        <v>4800</v>
      </c>
      <c r="T273" s="74">
        <v>0</v>
      </c>
      <c r="U273" s="56">
        <f t="shared" si="13"/>
        <v>0</v>
      </c>
      <c r="V273" s="6"/>
      <c r="W273" s="6"/>
      <c r="X273" s="6"/>
      <c r="Y273" s="6"/>
    </row>
    <row r="274" spans="1:25" s="7" customFormat="1" ht="81.75" customHeight="1">
      <c r="A274" s="43" t="s">
        <v>685</v>
      </c>
      <c r="B274" s="45" t="s">
        <v>114</v>
      </c>
      <c r="C274" s="45" t="s">
        <v>122</v>
      </c>
      <c r="D274" s="45" t="s">
        <v>335</v>
      </c>
      <c r="E274" s="45" t="s">
        <v>261</v>
      </c>
      <c r="F274" s="47"/>
      <c r="G274" s="60">
        <f>G275</f>
        <v>585000</v>
      </c>
      <c r="H274" s="114"/>
      <c r="I274" s="60">
        <f>I275</f>
        <v>585000</v>
      </c>
      <c r="J274" s="114"/>
      <c r="K274" s="74">
        <f>K275</f>
        <v>2564300</v>
      </c>
      <c r="L274" s="114"/>
      <c r="M274" s="74">
        <f>M275</f>
        <v>2564300</v>
      </c>
      <c r="N274" s="131"/>
      <c r="O274" s="74">
        <f>O275</f>
        <v>2564300</v>
      </c>
      <c r="P274" s="131"/>
      <c r="Q274" s="74">
        <f>Q275</f>
        <v>2564300</v>
      </c>
      <c r="R274" s="131"/>
      <c r="S274" s="74">
        <f>S275</f>
        <v>2564300</v>
      </c>
      <c r="T274" s="74">
        <f>T275</f>
        <v>2564300</v>
      </c>
      <c r="U274" s="56">
        <f t="shared" si="13"/>
        <v>100</v>
      </c>
      <c r="V274" s="6"/>
      <c r="W274" s="6"/>
      <c r="X274" s="6"/>
      <c r="Y274" s="6"/>
    </row>
    <row r="275" spans="1:25" s="7" customFormat="1" ht="84" customHeight="1">
      <c r="A275" s="9" t="s">
        <v>77</v>
      </c>
      <c r="B275" s="47" t="s">
        <v>114</v>
      </c>
      <c r="C275" s="47" t="s">
        <v>122</v>
      </c>
      <c r="D275" s="47" t="s">
        <v>78</v>
      </c>
      <c r="E275" s="47" t="s">
        <v>278</v>
      </c>
      <c r="F275" s="47"/>
      <c r="G275" s="60">
        <f>G276</f>
        <v>585000</v>
      </c>
      <c r="H275" s="114"/>
      <c r="I275" s="60">
        <f>I276</f>
        <v>585000</v>
      </c>
      <c r="J275" s="114"/>
      <c r="K275" s="74">
        <f>K276+K278+K280</f>
        <v>2564300</v>
      </c>
      <c r="L275" s="114"/>
      <c r="M275" s="74">
        <f>M276+M278+M280</f>
        <v>2564300</v>
      </c>
      <c r="N275" s="131"/>
      <c r="O275" s="74">
        <f>O276+O278+O280</f>
        <v>2564300</v>
      </c>
      <c r="P275" s="131"/>
      <c r="Q275" s="74">
        <f>Q276+Q278+Q280</f>
        <v>2564300</v>
      </c>
      <c r="R275" s="131"/>
      <c r="S275" s="74">
        <f>S276+S278+S280</f>
        <v>2564300</v>
      </c>
      <c r="T275" s="74">
        <f>T276+T278+T280</f>
        <v>2564300</v>
      </c>
      <c r="U275" s="56">
        <f t="shared" si="13"/>
        <v>100</v>
      </c>
      <c r="V275" s="6"/>
      <c r="W275" s="6"/>
      <c r="X275" s="6"/>
      <c r="Y275" s="6"/>
    </row>
    <row r="276" spans="1:25" s="7" customFormat="1" ht="64.5" customHeight="1">
      <c r="A276" s="9" t="s">
        <v>79</v>
      </c>
      <c r="B276" s="47" t="s">
        <v>114</v>
      </c>
      <c r="C276" s="47" t="s">
        <v>122</v>
      </c>
      <c r="D276" s="47" t="s">
        <v>80</v>
      </c>
      <c r="E276" s="47" t="s">
        <v>279</v>
      </c>
      <c r="F276" s="47"/>
      <c r="G276" s="60">
        <f>G277</f>
        <v>585000</v>
      </c>
      <c r="H276" s="114"/>
      <c r="I276" s="60">
        <f>I277</f>
        <v>585000</v>
      </c>
      <c r="J276" s="114"/>
      <c r="K276" s="74">
        <f>K277</f>
        <v>585000</v>
      </c>
      <c r="L276" s="114"/>
      <c r="M276" s="74">
        <f>M277</f>
        <v>585000</v>
      </c>
      <c r="N276" s="131"/>
      <c r="O276" s="74">
        <f>O277</f>
        <v>585000</v>
      </c>
      <c r="P276" s="131"/>
      <c r="Q276" s="74">
        <f>Q277</f>
        <v>585000</v>
      </c>
      <c r="R276" s="131"/>
      <c r="S276" s="74">
        <f>S277</f>
        <v>585000</v>
      </c>
      <c r="T276" s="74">
        <f>T277</f>
        <v>585000</v>
      </c>
      <c r="U276" s="56">
        <f t="shared" si="13"/>
        <v>100</v>
      </c>
      <c r="V276" s="6"/>
      <c r="W276" s="6"/>
      <c r="X276" s="6"/>
      <c r="Y276" s="6"/>
    </row>
    <row r="277" spans="1:25" s="7" customFormat="1" ht="46.5" customHeight="1">
      <c r="A277" s="32" t="s">
        <v>46</v>
      </c>
      <c r="B277" s="47" t="s">
        <v>114</v>
      </c>
      <c r="C277" s="47" t="s">
        <v>122</v>
      </c>
      <c r="D277" s="47" t="s">
        <v>80</v>
      </c>
      <c r="E277" s="47" t="s">
        <v>279</v>
      </c>
      <c r="F277" s="47" t="s">
        <v>73</v>
      </c>
      <c r="G277" s="60">
        <v>585000</v>
      </c>
      <c r="H277" s="114"/>
      <c r="I277" s="60">
        <f>G277+H277</f>
        <v>585000</v>
      </c>
      <c r="J277" s="114"/>
      <c r="K277" s="74">
        <f>I277+J277</f>
        <v>585000</v>
      </c>
      <c r="L277" s="114"/>
      <c r="M277" s="74">
        <f>K277+L277</f>
        <v>585000</v>
      </c>
      <c r="N277" s="131"/>
      <c r="O277" s="74">
        <f>M277+N277</f>
        <v>585000</v>
      </c>
      <c r="P277" s="131"/>
      <c r="Q277" s="74">
        <f>O277+P277</f>
        <v>585000</v>
      </c>
      <c r="R277" s="131"/>
      <c r="S277" s="74">
        <f>Q277+R277</f>
        <v>585000</v>
      </c>
      <c r="T277" s="74">
        <f>R277+S277</f>
        <v>585000</v>
      </c>
      <c r="U277" s="56">
        <f t="shared" si="13"/>
        <v>100</v>
      </c>
      <c r="V277" s="6"/>
      <c r="W277" s="6"/>
      <c r="X277" s="6"/>
      <c r="Y277" s="6"/>
    </row>
    <row r="278" spans="1:25" s="7" customFormat="1" ht="76.5" customHeight="1">
      <c r="A278" s="32" t="s">
        <v>26</v>
      </c>
      <c r="B278" s="47" t="s">
        <v>114</v>
      </c>
      <c r="C278" s="47" t="s">
        <v>122</v>
      </c>
      <c r="D278" s="47"/>
      <c r="E278" s="47" t="s">
        <v>28</v>
      </c>
      <c r="F278" s="47"/>
      <c r="G278" s="60"/>
      <c r="H278" s="114"/>
      <c r="I278" s="60"/>
      <c r="J278" s="114"/>
      <c r="K278" s="74">
        <f>K279</f>
        <v>1283100</v>
      </c>
      <c r="L278" s="114"/>
      <c r="M278" s="74">
        <f>M279</f>
        <v>1283100</v>
      </c>
      <c r="N278" s="131"/>
      <c r="O278" s="74">
        <f>O279</f>
        <v>1283100</v>
      </c>
      <c r="P278" s="131"/>
      <c r="Q278" s="74">
        <f>Q279</f>
        <v>1283100</v>
      </c>
      <c r="R278" s="131"/>
      <c r="S278" s="74">
        <f>S279</f>
        <v>1283100</v>
      </c>
      <c r="T278" s="74">
        <f>T279</f>
        <v>1283100</v>
      </c>
      <c r="U278" s="56">
        <f t="shared" si="13"/>
        <v>100</v>
      </c>
      <c r="V278" s="6"/>
      <c r="W278" s="6"/>
      <c r="X278" s="6"/>
      <c r="Y278" s="6"/>
    </row>
    <row r="279" spans="1:25" s="7" customFormat="1" ht="46.5" customHeight="1">
      <c r="A279" s="32" t="s">
        <v>46</v>
      </c>
      <c r="B279" s="47" t="s">
        <v>114</v>
      </c>
      <c r="C279" s="47" t="s">
        <v>122</v>
      </c>
      <c r="D279" s="47"/>
      <c r="E279" s="47" t="s">
        <v>28</v>
      </c>
      <c r="F279" s="47" t="s">
        <v>73</v>
      </c>
      <c r="G279" s="60"/>
      <c r="H279" s="114"/>
      <c r="I279" s="60"/>
      <c r="J279" s="114">
        <v>1283100</v>
      </c>
      <c r="K279" s="74">
        <f>I279+J279</f>
        <v>1283100</v>
      </c>
      <c r="L279" s="114"/>
      <c r="M279" s="74">
        <f>K279+L279</f>
        <v>1283100</v>
      </c>
      <c r="N279" s="131"/>
      <c r="O279" s="74">
        <f>M279+N279</f>
        <v>1283100</v>
      </c>
      <c r="P279" s="131"/>
      <c r="Q279" s="74">
        <f>O279+P279</f>
        <v>1283100</v>
      </c>
      <c r="R279" s="131"/>
      <c r="S279" s="74">
        <f>Q279+R279</f>
        <v>1283100</v>
      </c>
      <c r="T279" s="74">
        <f>R279+S279</f>
        <v>1283100</v>
      </c>
      <c r="U279" s="56">
        <f t="shared" si="13"/>
        <v>100</v>
      </c>
      <c r="V279" s="6"/>
      <c r="W279" s="6"/>
      <c r="X279" s="6"/>
      <c r="Y279" s="6"/>
    </row>
    <row r="280" spans="1:25" s="7" customFormat="1" ht="78" customHeight="1">
      <c r="A280" s="32" t="s">
        <v>27</v>
      </c>
      <c r="B280" s="47" t="s">
        <v>114</v>
      </c>
      <c r="C280" s="47" t="s">
        <v>122</v>
      </c>
      <c r="D280" s="47"/>
      <c r="E280" s="128">
        <v>1120150180</v>
      </c>
      <c r="F280" s="47"/>
      <c r="G280" s="60"/>
      <c r="H280" s="114"/>
      <c r="I280" s="60"/>
      <c r="J280" s="114"/>
      <c r="K280" s="74">
        <f>K281</f>
        <v>696200</v>
      </c>
      <c r="L280" s="114"/>
      <c r="M280" s="74">
        <f>M281</f>
        <v>696200</v>
      </c>
      <c r="N280" s="131"/>
      <c r="O280" s="74">
        <f>O281</f>
        <v>696200</v>
      </c>
      <c r="P280" s="131"/>
      <c r="Q280" s="74">
        <f>Q281</f>
        <v>696200</v>
      </c>
      <c r="R280" s="131"/>
      <c r="S280" s="74">
        <f>S281</f>
        <v>696200</v>
      </c>
      <c r="T280" s="74">
        <f>T281</f>
        <v>696200</v>
      </c>
      <c r="U280" s="56">
        <f t="shared" si="13"/>
        <v>100</v>
      </c>
      <c r="V280" s="6"/>
      <c r="W280" s="6"/>
      <c r="X280" s="6"/>
      <c r="Y280" s="6"/>
    </row>
    <row r="281" spans="1:25" s="7" customFormat="1" ht="46.5" customHeight="1">
      <c r="A281" s="32" t="s">
        <v>46</v>
      </c>
      <c r="B281" s="47" t="s">
        <v>114</v>
      </c>
      <c r="C281" s="47" t="s">
        <v>122</v>
      </c>
      <c r="D281" s="47"/>
      <c r="E281" s="87">
        <v>1120150180</v>
      </c>
      <c r="F281" s="47" t="s">
        <v>73</v>
      </c>
      <c r="G281" s="60"/>
      <c r="H281" s="114"/>
      <c r="I281" s="60"/>
      <c r="J281" s="114">
        <v>696200</v>
      </c>
      <c r="K281" s="74">
        <f>I281+J281</f>
        <v>696200</v>
      </c>
      <c r="L281" s="114"/>
      <c r="M281" s="74">
        <f>K281+L281</f>
        <v>696200</v>
      </c>
      <c r="N281" s="131"/>
      <c r="O281" s="74">
        <f>M281+N281</f>
        <v>696200</v>
      </c>
      <c r="P281" s="131"/>
      <c r="Q281" s="74">
        <f>O281+P281</f>
        <v>696200</v>
      </c>
      <c r="R281" s="131"/>
      <c r="S281" s="74">
        <f>Q281+R281</f>
        <v>696200</v>
      </c>
      <c r="T281" s="74">
        <f>R281+S281</f>
        <v>696200</v>
      </c>
      <c r="U281" s="56">
        <f t="shared" si="13"/>
        <v>100</v>
      </c>
      <c r="V281" s="6"/>
      <c r="W281" s="6"/>
      <c r="X281" s="6"/>
      <c r="Y281" s="6"/>
    </row>
    <row r="282" spans="1:25" s="7" customFormat="1" ht="32.25" customHeight="1">
      <c r="A282" s="9" t="s">
        <v>331</v>
      </c>
      <c r="B282" s="47" t="s">
        <v>114</v>
      </c>
      <c r="C282" s="47" t="s">
        <v>190</v>
      </c>
      <c r="D282" s="47"/>
      <c r="E282" s="47"/>
      <c r="F282" s="47"/>
      <c r="G282" s="61">
        <f>G287+G283</f>
        <v>6086645.34</v>
      </c>
      <c r="H282" s="114"/>
      <c r="I282" s="61">
        <f>I287+I283</f>
        <v>6086645.34</v>
      </c>
      <c r="J282" s="114"/>
      <c r="K282" s="75">
        <f>K287+K283</f>
        <v>5554551.34</v>
      </c>
      <c r="L282" s="131"/>
      <c r="M282" s="75">
        <f>M287+M283</f>
        <v>5554551.34</v>
      </c>
      <c r="N282" s="131"/>
      <c r="O282" s="75">
        <f>O287+O283</f>
        <v>5460851.34</v>
      </c>
      <c r="P282" s="131"/>
      <c r="Q282" s="75">
        <f>Q287+Q283</f>
        <v>3822026.34</v>
      </c>
      <c r="R282" s="131"/>
      <c r="S282" s="75">
        <f>S287+S283</f>
        <v>4191114.34</v>
      </c>
      <c r="T282" s="75">
        <f>T287+T283</f>
        <v>4129467.1</v>
      </c>
      <c r="U282" s="56">
        <f t="shared" si="13"/>
        <v>98.5</v>
      </c>
      <c r="V282" s="6"/>
      <c r="W282" s="6"/>
      <c r="X282" s="6"/>
      <c r="Y282" s="6"/>
    </row>
    <row r="283" spans="1:25" s="7" customFormat="1" ht="81.75" customHeight="1">
      <c r="A283" s="28" t="s">
        <v>573</v>
      </c>
      <c r="B283" s="47" t="s">
        <v>114</v>
      </c>
      <c r="C283" s="47" t="s">
        <v>190</v>
      </c>
      <c r="D283" s="47" t="s">
        <v>487</v>
      </c>
      <c r="E283" s="47" t="s">
        <v>372</v>
      </c>
      <c r="F283" s="47"/>
      <c r="G283" s="61">
        <f>G284</f>
        <v>180000</v>
      </c>
      <c r="H283" s="114"/>
      <c r="I283" s="61">
        <f>I284</f>
        <v>180000</v>
      </c>
      <c r="J283" s="114"/>
      <c r="K283" s="75">
        <f>K284</f>
        <v>180000</v>
      </c>
      <c r="L283" s="114"/>
      <c r="M283" s="75">
        <f>M284</f>
        <v>180000</v>
      </c>
      <c r="N283" s="131"/>
      <c r="O283" s="75">
        <f>O284</f>
        <v>86300</v>
      </c>
      <c r="P283" s="131"/>
      <c r="Q283" s="75">
        <f>Q284</f>
        <v>86300</v>
      </c>
      <c r="R283" s="131"/>
      <c r="S283" s="75">
        <f>S284</f>
        <v>86300</v>
      </c>
      <c r="T283" s="75">
        <f>T284</f>
        <v>86300</v>
      </c>
      <c r="U283" s="56">
        <f t="shared" si="13"/>
        <v>100</v>
      </c>
      <c r="V283" s="6"/>
      <c r="W283" s="6"/>
      <c r="X283" s="6"/>
      <c r="Y283" s="6"/>
    </row>
    <row r="284" spans="1:25" s="7" customFormat="1" ht="69" customHeight="1">
      <c r="A284" s="11" t="s">
        <v>681</v>
      </c>
      <c r="B284" s="47" t="s">
        <v>114</v>
      </c>
      <c r="C284" s="47" t="s">
        <v>190</v>
      </c>
      <c r="D284" s="47" t="s">
        <v>611</v>
      </c>
      <c r="E284" s="47" t="s">
        <v>280</v>
      </c>
      <c r="F284" s="47"/>
      <c r="G284" s="61">
        <f>G286</f>
        <v>180000</v>
      </c>
      <c r="H284" s="114"/>
      <c r="I284" s="61">
        <f>I286</f>
        <v>180000</v>
      </c>
      <c r="J284" s="114"/>
      <c r="K284" s="75">
        <f>K286</f>
        <v>180000</v>
      </c>
      <c r="L284" s="114"/>
      <c r="M284" s="75">
        <f>M286</f>
        <v>180000</v>
      </c>
      <c r="N284" s="131"/>
      <c r="O284" s="75">
        <f>O286</f>
        <v>86300</v>
      </c>
      <c r="P284" s="131"/>
      <c r="Q284" s="75">
        <f>Q286</f>
        <v>86300</v>
      </c>
      <c r="R284" s="131"/>
      <c r="S284" s="75">
        <f>S286</f>
        <v>86300</v>
      </c>
      <c r="T284" s="75">
        <f>T286</f>
        <v>86300</v>
      </c>
      <c r="U284" s="56">
        <f t="shared" si="13"/>
        <v>100</v>
      </c>
      <c r="V284" s="6"/>
      <c r="W284" s="6"/>
      <c r="X284" s="6"/>
      <c r="Y284" s="6"/>
    </row>
    <row r="285" spans="1:25" s="7" customFormat="1" ht="51.75" customHeight="1">
      <c r="A285" s="11" t="s">
        <v>539</v>
      </c>
      <c r="B285" s="47" t="s">
        <v>114</v>
      </c>
      <c r="C285" s="47" t="s">
        <v>190</v>
      </c>
      <c r="D285" s="47" t="s">
        <v>612</v>
      </c>
      <c r="E285" s="47" t="s">
        <v>281</v>
      </c>
      <c r="F285" s="47"/>
      <c r="G285" s="61">
        <f>G286</f>
        <v>180000</v>
      </c>
      <c r="H285" s="114"/>
      <c r="I285" s="61">
        <f>I286</f>
        <v>180000</v>
      </c>
      <c r="J285" s="114"/>
      <c r="K285" s="75">
        <f>K286</f>
        <v>180000</v>
      </c>
      <c r="L285" s="114"/>
      <c r="M285" s="75">
        <f>M286</f>
        <v>180000</v>
      </c>
      <c r="N285" s="131"/>
      <c r="O285" s="75">
        <f>O286</f>
        <v>86300</v>
      </c>
      <c r="P285" s="131"/>
      <c r="Q285" s="75">
        <f>Q286</f>
        <v>86300</v>
      </c>
      <c r="R285" s="131"/>
      <c r="S285" s="75">
        <f>S286</f>
        <v>86300</v>
      </c>
      <c r="T285" s="75">
        <f>T286</f>
        <v>86300</v>
      </c>
      <c r="U285" s="56">
        <f t="shared" si="13"/>
        <v>100</v>
      </c>
      <c r="V285" s="6"/>
      <c r="W285" s="6"/>
      <c r="X285" s="6"/>
      <c r="Y285" s="6"/>
    </row>
    <row r="286" spans="1:25" s="7" customFormat="1" ht="44.25" customHeight="1">
      <c r="A286" s="13" t="s">
        <v>83</v>
      </c>
      <c r="B286" s="47" t="s">
        <v>114</v>
      </c>
      <c r="C286" s="47" t="s">
        <v>190</v>
      </c>
      <c r="D286" s="47" t="s">
        <v>612</v>
      </c>
      <c r="E286" s="47" t="s">
        <v>281</v>
      </c>
      <c r="F286" s="47" t="s">
        <v>82</v>
      </c>
      <c r="G286" s="74">
        <v>180000</v>
      </c>
      <c r="H286" s="114"/>
      <c r="I286" s="74">
        <f>G286+H286</f>
        <v>180000</v>
      </c>
      <c r="J286" s="114"/>
      <c r="K286" s="74">
        <f>I286+J286</f>
        <v>180000</v>
      </c>
      <c r="L286" s="114"/>
      <c r="M286" s="74">
        <f>K286+L286</f>
        <v>180000</v>
      </c>
      <c r="N286" s="131">
        <v>-93700</v>
      </c>
      <c r="O286" s="74">
        <f>M286+N286</f>
        <v>86300</v>
      </c>
      <c r="P286" s="131"/>
      <c r="Q286" s="74">
        <f>O286+P286</f>
        <v>86300</v>
      </c>
      <c r="R286" s="131"/>
      <c r="S286" s="74">
        <f>Q286+R286</f>
        <v>86300</v>
      </c>
      <c r="T286" s="74">
        <f>R286+S286</f>
        <v>86300</v>
      </c>
      <c r="U286" s="56">
        <f t="shared" si="13"/>
        <v>100</v>
      </c>
      <c r="V286" s="6"/>
      <c r="W286" s="6"/>
      <c r="X286" s="6"/>
      <c r="Y286" s="6"/>
    </row>
    <row r="287" spans="1:25" s="7" customFormat="1" ht="34.5" customHeight="1">
      <c r="A287" s="20" t="s">
        <v>332</v>
      </c>
      <c r="B287" s="47" t="s">
        <v>114</v>
      </c>
      <c r="C287" s="47" t="s">
        <v>190</v>
      </c>
      <c r="D287" s="47" t="s">
        <v>322</v>
      </c>
      <c r="E287" s="47" t="s">
        <v>369</v>
      </c>
      <c r="F287" s="47"/>
      <c r="G287" s="61">
        <f>G288+G291</f>
        <v>5906645.34</v>
      </c>
      <c r="H287" s="114"/>
      <c r="I287" s="61">
        <f>I288+I291</f>
        <v>5906645.34</v>
      </c>
      <c r="J287" s="114"/>
      <c r="K287" s="75">
        <f>K288+K291</f>
        <v>5374551.34</v>
      </c>
      <c r="L287" s="114"/>
      <c r="M287" s="75">
        <f>M288+M291</f>
        <v>5374551.34</v>
      </c>
      <c r="N287" s="131"/>
      <c r="O287" s="75">
        <f>O288+O291</f>
        <v>5374551.34</v>
      </c>
      <c r="P287" s="131"/>
      <c r="Q287" s="75">
        <f>Q288+Q291</f>
        <v>3735726.34</v>
      </c>
      <c r="R287" s="131"/>
      <c r="S287" s="75">
        <f>S288+S291</f>
        <v>4104814.34</v>
      </c>
      <c r="T287" s="75">
        <f>T288+T291</f>
        <v>4043167.1</v>
      </c>
      <c r="U287" s="56">
        <f t="shared" si="13"/>
        <v>98.5</v>
      </c>
      <c r="V287" s="6"/>
      <c r="W287" s="6"/>
      <c r="X287" s="6"/>
      <c r="Y287" s="6"/>
    </row>
    <row r="288" spans="1:25" s="7" customFormat="1" ht="20.25" customHeight="1">
      <c r="A288" s="20" t="s">
        <v>50</v>
      </c>
      <c r="B288" s="47" t="s">
        <v>114</v>
      </c>
      <c r="C288" s="47" t="s">
        <v>190</v>
      </c>
      <c r="D288" s="47" t="s">
        <v>334</v>
      </c>
      <c r="E288" s="47" t="s">
        <v>51</v>
      </c>
      <c r="F288" s="47"/>
      <c r="G288" s="61">
        <f>G289+G290</f>
        <v>744345.3400000001</v>
      </c>
      <c r="H288" s="114"/>
      <c r="I288" s="61">
        <f>I289+I290</f>
        <v>744345.3400000001</v>
      </c>
      <c r="J288" s="114"/>
      <c r="K288" s="75">
        <f>K289+K290</f>
        <v>744345.3400000001</v>
      </c>
      <c r="L288" s="114"/>
      <c r="M288" s="75">
        <f>M289+M290</f>
        <v>744345.3400000001</v>
      </c>
      <c r="N288" s="131"/>
      <c r="O288" s="75">
        <f>O289+O290</f>
        <v>744345.3400000001</v>
      </c>
      <c r="P288" s="131"/>
      <c r="Q288" s="75">
        <f>Q289+Q290</f>
        <v>744345.3400000001</v>
      </c>
      <c r="R288" s="131"/>
      <c r="S288" s="75">
        <f>S289+S290</f>
        <v>672960.3400000001</v>
      </c>
      <c r="T288" s="75">
        <f>T289+T290</f>
        <v>669185.62</v>
      </c>
      <c r="U288" s="56">
        <f t="shared" si="13"/>
        <v>99.4</v>
      </c>
      <c r="V288" s="6"/>
      <c r="W288" s="6"/>
      <c r="X288" s="6"/>
      <c r="Y288" s="6"/>
    </row>
    <row r="289" spans="1:25" s="7" customFormat="1" ht="34.5" customHeight="1">
      <c r="A289" s="20" t="s">
        <v>58</v>
      </c>
      <c r="B289" s="47" t="s">
        <v>114</v>
      </c>
      <c r="C289" s="47" t="s">
        <v>190</v>
      </c>
      <c r="D289" s="47" t="s">
        <v>334</v>
      </c>
      <c r="E289" s="47" t="s">
        <v>51</v>
      </c>
      <c r="F289" s="47" t="s">
        <v>57</v>
      </c>
      <c r="G289" s="61">
        <v>367870</v>
      </c>
      <c r="H289" s="114"/>
      <c r="I289" s="61">
        <f>G289+H289</f>
        <v>367870</v>
      </c>
      <c r="J289" s="114">
        <v>-5237</v>
      </c>
      <c r="K289" s="75">
        <f>I289+J289</f>
        <v>362633</v>
      </c>
      <c r="L289" s="114"/>
      <c r="M289" s="75">
        <f>K289+L289</f>
        <v>362633</v>
      </c>
      <c r="N289" s="131">
        <v>75523</v>
      </c>
      <c r="O289" s="75">
        <f>M289+N289</f>
        <v>438156</v>
      </c>
      <c r="P289" s="131"/>
      <c r="Q289" s="75">
        <f>O289+P289</f>
        <v>438156</v>
      </c>
      <c r="R289" s="131">
        <v>4160</v>
      </c>
      <c r="S289" s="75">
        <f>Q289+R289</f>
        <v>442316</v>
      </c>
      <c r="T289" s="75">
        <v>441485.85</v>
      </c>
      <c r="U289" s="56">
        <f t="shared" si="13"/>
        <v>99.8</v>
      </c>
      <c r="V289" s="6"/>
      <c r="W289" s="6"/>
      <c r="X289" s="6"/>
      <c r="Y289" s="6"/>
    </row>
    <row r="290" spans="1:25" s="7" customFormat="1" ht="34.5" customHeight="1">
      <c r="A290" s="92" t="s">
        <v>68</v>
      </c>
      <c r="B290" s="47" t="s">
        <v>114</v>
      </c>
      <c r="C290" s="47" t="s">
        <v>190</v>
      </c>
      <c r="D290" s="47" t="s">
        <v>334</v>
      </c>
      <c r="E290" s="47" t="s">
        <v>51</v>
      </c>
      <c r="F290" s="47" t="s">
        <v>59</v>
      </c>
      <c r="G290" s="61">
        <v>376475.34</v>
      </c>
      <c r="H290" s="114"/>
      <c r="I290" s="61">
        <f>G290+H290</f>
        <v>376475.34</v>
      </c>
      <c r="J290" s="114">
        <v>5237</v>
      </c>
      <c r="K290" s="75">
        <f>I290+J290</f>
        <v>381712.34</v>
      </c>
      <c r="L290" s="114"/>
      <c r="M290" s="75">
        <f>K290+L290</f>
        <v>381712.34</v>
      </c>
      <c r="N290" s="131">
        <v>-75523</v>
      </c>
      <c r="O290" s="75">
        <f>M290+N290</f>
        <v>306189.34</v>
      </c>
      <c r="P290" s="131"/>
      <c r="Q290" s="75">
        <f>O290+P290</f>
        <v>306189.34</v>
      </c>
      <c r="R290" s="131">
        <v>-75545</v>
      </c>
      <c r="S290" s="75">
        <f>Q290+R290</f>
        <v>230644.34000000003</v>
      </c>
      <c r="T290" s="75">
        <v>227699.77</v>
      </c>
      <c r="U290" s="56">
        <f t="shared" si="13"/>
        <v>98.7</v>
      </c>
      <c r="V290" s="6"/>
      <c r="W290" s="6"/>
      <c r="X290" s="6"/>
      <c r="Y290" s="6"/>
    </row>
    <row r="291" spans="1:25" s="7" customFormat="1" ht="21" customHeight="1">
      <c r="A291" s="20" t="s">
        <v>333</v>
      </c>
      <c r="B291" s="47" t="s">
        <v>114</v>
      </c>
      <c r="C291" s="47" t="s">
        <v>190</v>
      </c>
      <c r="D291" s="47" t="s">
        <v>334</v>
      </c>
      <c r="E291" s="47" t="s">
        <v>282</v>
      </c>
      <c r="F291" s="47"/>
      <c r="G291" s="61">
        <f>G292+G293</f>
        <v>5162300</v>
      </c>
      <c r="H291" s="114"/>
      <c r="I291" s="61">
        <f>I292+I293</f>
        <v>5162300</v>
      </c>
      <c r="J291" s="114"/>
      <c r="K291" s="75">
        <f>K292+K293</f>
        <v>4630206</v>
      </c>
      <c r="L291" s="114"/>
      <c r="M291" s="75">
        <f>M292+M293</f>
        <v>4630206</v>
      </c>
      <c r="N291" s="131"/>
      <c r="O291" s="75">
        <f>O292+O293</f>
        <v>4630206</v>
      </c>
      <c r="P291" s="131"/>
      <c r="Q291" s="75">
        <f>Q292+Q293</f>
        <v>2991381</v>
      </c>
      <c r="R291" s="131"/>
      <c r="S291" s="75">
        <f>S292+S293</f>
        <v>3431854</v>
      </c>
      <c r="T291" s="75">
        <f>T292+T293</f>
        <v>3373981.48</v>
      </c>
      <c r="U291" s="56">
        <f t="shared" si="13"/>
        <v>98.3</v>
      </c>
      <c r="V291" s="6"/>
      <c r="W291" s="6"/>
      <c r="X291" s="6"/>
      <c r="Y291" s="6"/>
    </row>
    <row r="292" spans="1:25" s="7" customFormat="1" ht="31.5" customHeight="1">
      <c r="A292" s="20" t="s">
        <v>58</v>
      </c>
      <c r="B292" s="47" t="s">
        <v>114</v>
      </c>
      <c r="C292" s="47" t="s">
        <v>190</v>
      </c>
      <c r="D292" s="47" t="s">
        <v>334</v>
      </c>
      <c r="E292" s="47" t="s">
        <v>282</v>
      </c>
      <c r="F292" s="47" t="s">
        <v>57</v>
      </c>
      <c r="G292" s="75">
        <v>2759225</v>
      </c>
      <c r="H292" s="114"/>
      <c r="I292" s="75">
        <f>G292+H292</f>
        <v>2759225</v>
      </c>
      <c r="J292" s="114">
        <v>-532094</v>
      </c>
      <c r="K292" s="75">
        <f>I292+J292</f>
        <v>2227131</v>
      </c>
      <c r="L292" s="114"/>
      <c r="M292" s="75">
        <f>K292+L292</f>
        <v>2227131</v>
      </c>
      <c r="N292" s="131"/>
      <c r="O292" s="75">
        <f>M292+N292</f>
        <v>2227131</v>
      </c>
      <c r="P292" s="131">
        <f>-85700-294700</f>
        <v>-380400</v>
      </c>
      <c r="Q292" s="75">
        <f>O292+P292</f>
        <v>1846731</v>
      </c>
      <c r="R292" s="131">
        <v>289640</v>
      </c>
      <c r="S292" s="75">
        <f>Q292+R292</f>
        <v>2136371</v>
      </c>
      <c r="T292" s="75">
        <v>2134982.44</v>
      </c>
      <c r="U292" s="56">
        <f t="shared" si="13"/>
        <v>99.9</v>
      </c>
      <c r="V292" s="6"/>
      <c r="W292" s="6"/>
      <c r="X292" s="6"/>
      <c r="Y292" s="6"/>
    </row>
    <row r="293" spans="1:25" s="7" customFormat="1" ht="33" customHeight="1">
      <c r="A293" s="92" t="s">
        <v>68</v>
      </c>
      <c r="B293" s="47" t="s">
        <v>114</v>
      </c>
      <c r="C293" s="47" t="s">
        <v>190</v>
      </c>
      <c r="D293" s="47" t="s">
        <v>334</v>
      </c>
      <c r="E293" s="47" t="s">
        <v>282</v>
      </c>
      <c r="F293" s="47" t="s">
        <v>59</v>
      </c>
      <c r="G293" s="74">
        <v>2403075</v>
      </c>
      <c r="H293" s="114"/>
      <c r="I293" s="74">
        <f>G293+H293</f>
        <v>2403075</v>
      </c>
      <c r="J293" s="114"/>
      <c r="K293" s="74">
        <f>I293+J293</f>
        <v>2403075</v>
      </c>
      <c r="L293" s="114"/>
      <c r="M293" s="74">
        <f>K293+L293</f>
        <v>2403075</v>
      </c>
      <c r="N293" s="131"/>
      <c r="O293" s="74">
        <f>M293+N293</f>
        <v>2403075</v>
      </c>
      <c r="P293" s="131">
        <f>-156125-1102300</f>
        <v>-1258425</v>
      </c>
      <c r="Q293" s="74">
        <f>O293+P293</f>
        <v>1144650</v>
      </c>
      <c r="R293" s="131">
        <v>150833</v>
      </c>
      <c r="S293" s="74">
        <f>Q293+R293</f>
        <v>1295483</v>
      </c>
      <c r="T293" s="74">
        <v>1238999.04</v>
      </c>
      <c r="U293" s="56">
        <f t="shared" si="13"/>
        <v>95.6</v>
      </c>
      <c r="V293" s="6"/>
      <c r="W293" s="6"/>
      <c r="X293" s="6"/>
      <c r="Y293" s="6"/>
    </row>
    <row r="294" spans="1:21" ht="30" customHeight="1" hidden="1">
      <c r="A294" s="23" t="s">
        <v>187</v>
      </c>
      <c r="B294" s="47" t="s">
        <v>114</v>
      </c>
      <c r="C294" s="47" t="s">
        <v>190</v>
      </c>
      <c r="D294" s="47"/>
      <c r="E294" s="47"/>
      <c r="F294" s="47"/>
      <c r="G294" s="58"/>
      <c r="H294" s="112"/>
      <c r="I294" s="58"/>
      <c r="J294" s="112"/>
      <c r="K294" s="120"/>
      <c r="L294" s="112"/>
      <c r="M294" s="120"/>
      <c r="N294" s="113"/>
      <c r="O294" s="120"/>
      <c r="P294" s="113"/>
      <c r="Q294" s="120"/>
      <c r="R294" s="113"/>
      <c r="S294" s="120"/>
      <c r="T294" s="120"/>
      <c r="U294" s="56" t="str">
        <f t="shared" si="13"/>
        <v>-</v>
      </c>
    </row>
    <row r="295" spans="1:21" ht="49.5" customHeight="1" hidden="1">
      <c r="A295" s="9" t="s">
        <v>199</v>
      </c>
      <c r="B295" s="47" t="s">
        <v>114</v>
      </c>
      <c r="C295" s="47" t="s">
        <v>190</v>
      </c>
      <c r="D295" s="47" t="s">
        <v>220</v>
      </c>
      <c r="E295" s="47"/>
      <c r="F295" s="47"/>
      <c r="G295" s="58"/>
      <c r="H295" s="112"/>
      <c r="I295" s="58"/>
      <c r="J295" s="112"/>
      <c r="K295" s="120"/>
      <c r="L295" s="112"/>
      <c r="M295" s="120"/>
      <c r="N295" s="113"/>
      <c r="O295" s="120"/>
      <c r="P295" s="113"/>
      <c r="Q295" s="120"/>
      <c r="R295" s="113"/>
      <c r="S295" s="120"/>
      <c r="T295" s="120"/>
      <c r="U295" s="56" t="str">
        <f t="shared" si="13"/>
        <v>-</v>
      </c>
    </row>
    <row r="296" spans="1:21" ht="42.75" customHeight="1" hidden="1">
      <c r="A296" s="9" t="s">
        <v>208</v>
      </c>
      <c r="B296" s="47" t="s">
        <v>114</v>
      </c>
      <c r="C296" s="47" t="s">
        <v>190</v>
      </c>
      <c r="D296" s="47" t="s">
        <v>220</v>
      </c>
      <c r="E296" s="47"/>
      <c r="F296" s="47" t="s">
        <v>204</v>
      </c>
      <c r="G296" s="58"/>
      <c r="H296" s="112"/>
      <c r="I296" s="58"/>
      <c r="J296" s="112"/>
      <c r="K296" s="120"/>
      <c r="L296" s="112"/>
      <c r="M296" s="120"/>
      <c r="N296" s="113"/>
      <c r="O296" s="120"/>
      <c r="P296" s="113"/>
      <c r="Q296" s="120"/>
      <c r="R296" s="113"/>
      <c r="S296" s="120"/>
      <c r="T296" s="120"/>
      <c r="U296" s="56" t="str">
        <f t="shared" si="13"/>
        <v>-</v>
      </c>
    </row>
    <row r="297" spans="1:21" ht="53.25" customHeight="1" hidden="1">
      <c r="A297" s="9" t="s">
        <v>209</v>
      </c>
      <c r="B297" s="47" t="s">
        <v>114</v>
      </c>
      <c r="C297" s="47" t="s">
        <v>190</v>
      </c>
      <c r="D297" s="47" t="s">
        <v>220</v>
      </c>
      <c r="E297" s="47"/>
      <c r="F297" s="47" t="s">
        <v>205</v>
      </c>
      <c r="G297" s="58"/>
      <c r="H297" s="112"/>
      <c r="I297" s="58"/>
      <c r="J297" s="112"/>
      <c r="K297" s="120"/>
      <c r="L297" s="112"/>
      <c r="M297" s="120"/>
      <c r="N297" s="113"/>
      <c r="O297" s="120"/>
      <c r="P297" s="113"/>
      <c r="Q297" s="120"/>
      <c r="R297" s="113"/>
      <c r="S297" s="120"/>
      <c r="T297" s="120"/>
      <c r="U297" s="56" t="str">
        <f t="shared" si="13"/>
        <v>-</v>
      </c>
    </row>
    <row r="298" spans="1:21" ht="41.25" customHeight="1" hidden="1">
      <c r="A298" s="9" t="s">
        <v>210</v>
      </c>
      <c r="B298" s="47" t="s">
        <v>114</v>
      </c>
      <c r="C298" s="47" t="s">
        <v>190</v>
      </c>
      <c r="D298" s="47" t="s">
        <v>220</v>
      </c>
      <c r="E298" s="47"/>
      <c r="F298" s="47" t="s">
        <v>206</v>
      </c>
      <c r="G298" s="58"/>
      <c r="H298" s="112"/>
      <c r="I298" s="58"/>
      <c r="J298" s="112"/>
      <c r="K298" s="120"/>
      <c r="L298" s="112"/>
      <c r="M298" s="120"/>
      <c r="N298" s="113"/>
      <c r="O298" s="120"/>
      <c r="P298" s="113"/>
      <c r="Q298" s="120"/>
      <c r="R298" s="113"/>
      <c r="S298" s="120"/>
      <c r="T298" s="120"/>
      <c r="U298" s="56" t="str">
        <f t="shared" si="13"/>
        <v>-</v>
      </c>
    </row>
    <row r="299" spans="1:21" ht="41.25" customHeight="1" hidden="1">
      <c r="A299" s="17" t="s">
        <v>219</v>
      </c>
      <c r="B299" s="47" t="s">
        <v>114</v>
      </c>
      <c r="C299" s="47" t="s">
        <v>190</v>
      </c>
      <c r="D299" s="47" t="s">
        <v>220</v>
      </c>
      <c r="E299" s="47"/>
      <c r="F299" s="47" t="s">
        <v>218</v>
      </c>
      <c r="G299" s="58"/>
      <c r="H299" s="112"/>
      <c r="I299" s="58"/>
      <c r="J299" s="112"/>
      <c r="K299" s="120"/>
      <c r="L299" s="112"/>
      <c r="M299" s="120"/>
      <c r="N299" s="113"/>
      <c r="O299" s="120"/>
      <c r="P299" s="113"/>
      <c r="Q299" s="120"/>
      <c r="R299" s="113"/>
      <c r="S299" s="120"/>
      <c r="T299" s="120"/>
      <c r="U299" s="56" t="str">
        <f t="shared" si="13"/>
        <v>-</v>
      </c>
    </row>
    <row r="300" spans="1:21" ht="54.75" customHeight="1" hidden="1">
      <c r="A300" s="25" t="s">
        <v>169</v>
      </c>
      <c r="B300" s="47" t="s">
        <v>114</v>
      </c>
      <c r="C300" s="47" t="s">
        <v>190</v>
      </c>
      <c r="D300" s="47" t="s">
        <v>221</v>
      </c>
      <c r="E300" s="47"/>
      <c r="F300" s="47"/>
      <c r="G300" s="58"/>
      <c r="H300" s="112"/>
      <c r="I300" s="58"/>
      <c r="J300" s="112"/>
      <c r="K300" s="120"/>
      <c r="L300" s="112"/>
      <c r="M300" s="120"/>
      <c r="N300" s="113"/>
      <c r="O300" s="120"/>
      <c r="P300" s="113"/>
      <c r="Q300" s="120"/>
      <c r="R300" s="113"/>
      <c r="S300" s="120"/>
      <c r="T300" s="120"/>
      <c r="U300" s="56" t="str">
        <f t="shared" si="13"/>
        <v>-</v>
      </c>
    </row>
    <row r="301" spans="1:21" ht="25.5" customHeight="1" hidden="1">
      <c r="A301" s="9" t="s">
        <v>207</v>
      </c>
      <c r="B301" s="47" t="s">
        <v>114</v>
      </c>
      <c r="C301" s="47" t="s">
        <v>190</v>
      </c>
      <c r="D301" s="47" t="s">
        <v>221</v>
      </c>
      <c r="E301" s="47"/>
      <c r="F301" s="47" t="s">
        <v>203</v>
      </c>
      <c r="G301" s="58"/>
      <c r="H301" s="112"/>
      <c r="I301" s="58"/>
      <c r="J301" s="112"/>
      <c r="K301" s="120"/>
      <c r="L301" s="112"/>
      <c r="M301" s="120"/>
      <c r="N301" s="113"/>
      <c r="O301" s="120"/>
      <c r="P301" s="113"/>
      <c r="Q301" s="120"/>
      <c r="R301" s="113"/>
      <c r="S301" s="120"/>
      <c r="T301" s="120"/>
      <c r="U301" s="56" t="str">
        <f t="shared" si="13"/>
        <v>-</v>
      </c>
    </row>
    <row r="302" spans="1:21" ht="41.25" customHeight="1" hidden="1">
      <c r="A302" s="9" t="s">
        <v>208</v>
      </c>
      <c r="B302" s="47" t="s">
        <v>114</v>
      </c>
      <c r="C302" s="47" t="s">
        <v>190</v>
      </c>
      <c r="D302" s="47" t="s">
        <v>221</v>
      </c>
      <c r="E302" s="47"/>
      <c r="F302" s="47" t="s">
        <v>204</v>
      </c>
      <c r="G302" s="58"/>
      <c r="H302" s="112"/>
      <c r="I302" s="58"/>
      <c r="J302" s="112"/>
      <c r="K302" s="120"/>
      <c r="L302" s="112"/>
      <c r="M302" s="120"/>
      <c r="N302" s="113"/>
      <c r="O302" s="120"/>
      <c r="P302" s="113"/>
      <c r="Q302" s="120"/>
      <c r="R302" s="113"/>
      <c r="S302" s="120"/>
      <c r="T302" s="120"/>
      <c r="U302" s="56" t="str">
        <f t="shared" si="13"/>
        <v>-</v>
      </c>
    </row>
    <row r="303" spans="1:21" ht="1.5" customHeight="1" hidden="1">
      <c r="A303" s="9" t="s">
        <v>209</v>
      </c>
      <c r="B303" s="47" t="s">
        <v>114</v>
      </c>
      <c r="C303" s="47" t="s">
        <v>190</v>
      </c>
      <c r="D303" s="47" t="s">
        <v>221</v>
      </c>
      <c r="E303" s="47"/>
      <c r="F303" s="47" t="s">
        <v>205</v>
      </c>
      <c r="G303" s="58"/>
      <c r="H303" s="112"/>
      <c r="I303" s="58"/>
      <c r="J303" s="112"/>
      <c r="K303" s="120"/>
      <c r="L303" s="112"/>
      <c r="M303" s="120"/>
      <c r="N303" s="113"/>
      <c r="O303" s="120"/>
      <c r="P303" s="113"/>
      <c r="Q303" s="120"/>
      <c r="R303" s="113"/>
      <c r="S303" s="120"/>
      <c r="T303" s="120"/>
      <c r="U303" s="56" t="str">
        <f t="shared" si="13"/>
        <v>-</v>
      </c>
    </row>
    <row r="304" spans="1:21" ht="22.5" customHeight="1" hidden="1">
      <c r="A304" s="14" t="s">
        <v>222</v>
      </c>
      <c r="B304" s="47" t="s">
        <v>114</v>
      </c>
      <c r="C304" s="47" t="s">
        <v>190</v>
      </c>
      <c r="D304" s="47" t="s">
        <v>221</v>
      </c>
      <c r="E304" s="47"/>
      <c r="F304" s="47" t="s">
        <v>206</v>
      </c>
      <c r="G304" s="58"/>
      <c r="H304" s="112"/>
      <c r="I304" s="58"/>
      <c r="J304" s="112"/>
      <c r="K304" s="120"/>
      <c r="L304" s="112"/>
      <c r="M304" s="120"/>
      <c r="N304" s="113"/>
      <c r="O304" s="120"/>
      <c r="P304" s="113"/>
      <c r="Q304" s="120"/>
      <c r="R304" s="113"/>
      <c r="S304" s="120"/>
      <c r="T304" s="120"/>
      <c r="U304" s="56" t="str">
        <f t="shared" si="13"/>
        <v>-</v>
      </c>
    </row>
    <row r="305" spans="1:21" ht="15.75">
      <c r="A305" s="9" t="s">
        <v>139</v>
      </c>
      <c r="B305" s="47" t="s">
        <v>114</v>
      </c>
      <c r="C305" s="47" t="s">
        <v>173</v>
      </c>
      <c r="D305" s="47"/>
      <c r="E305" s="47"/>
      <c r="F305" s="47"/>
      <c r="G305" s="61">
        <f>G306</f>
        <v>2085500</v>
      </c>
      <c r="H305" s="112"/>
      <c r="I305" s="61">
        <f>I306</f>
        <v>2075501</v>
      </c>
      <c r="J305" s="112"/>
      <c r="K305" s="75">
        <f>K306</f>
        <v>1851001</v>
      </c>
      <c r="L305" s="112"/>
      <c r="M305" s="75">
        <f>M306</f>
        <v>1817966.19</v>
      </c>
      <c r="N305" s="113"/>
      <c r="O305" s="75">
        <f>O306</f>
        <v>1807966.19</v>
      </c>
      <c r="P305" s="113"/>
      <c r="Q305" s="75">
        <f>Q306</f>
        <v>1357495.19</v>
      </c>
      <c r="R305" s="113"/>
      <c r="S305" s="75">
        <f aca="true" t="shared" si="14" ref="S305:T307">S306</f>
        <v>1346377.19</v>
      </c>
      <c r="T305" s="75">
        <f t="shared" si="14"/>
        <v>1107429.6400000001</v>
      </c>
      <c r="U305" s="56">
        <f t="shared" si="13"/>
        <v>82.3</v>
      </c>
    </row>
    <row r="306" spans="1:21" ht="15.75">
      <c r="A306" s="9" t="s">
        <v>185</v>
      </c>
      <c r="B306" s="45" t="s">
        <v>114</v>
      </c>
      <c r="C306" s="45" t="s">
        <v>184</v>
      </c>
      <c r="D306" s="45"/>
      <c r="E306" s="45"/>
      <c r="F306" s="45"/>
      <c r="G306" s="60">
        <f>G307</f>
        <v>2085500</v>
      </c>
      <c r="H306" s="112"/>
      <c r="I306" s="60">
        <f>I307</f>
        <v>2075501</v>
      </c>
      <c r="J306" s="112"/>
      <c r="K306" s="74">
        <f>K307</f>
        <v>1851001</v>
      </c>
      <c r="L306" s="113"/>
      <c r="M306" s="74">
        <f>M307</f>
        <v>1817966.19</v>
      </c>
      <c r="N306" s="113"/>
      <c r="O306" s="74">
        <f>O307</f>
        <v>1807966.19</v>
      </c>
      <c r="P306" s="113"/>
      <c r="Q306" s="74">
        <f>Q307</f>
        <v>1357495.19</v>
      </c>
      <c r="R306" s="113"/>
      <c r="S306" s="74">
        <f t="shared" si="14"/>
        <v>1346377.19</v>
      </c>
      <c r="T306" s="74">
        <f t="shared" si="14"/>
        <v>1107429.6400000001</v>
      </c>
      <c r="U306" s="56">
        <f t="shared" si="13"/>
        <v>82.3</v>
      </c>
    </row>
    <row r="307" spans="1:21" ht="78" customHeight="1">
      <c r="A307" s="24" t="s">
        <v>718</v>
      </c>
      <c r="B307" s="47" t="s">
        <v>114</v>
      </c>
      <c r="C307" s="47" t="s">
        <v>184</v>
      </c>
      <c r="D307" s="47" t="s">
        <v>600</v>
      </c>
      <c r="E307" s="47" t="s">
        <v>401</v>
      </c>
      <c r="F307" s="47"/>
      <c r="G307" s="61">
        <f>G308</f>
        <v>2085500</v>
      </c>
      <c r="H307" s="112"/>
      <c r="I307" s="61">
        <f>I308</f>
        <v>2075501</v>
      </c>
      <c r="J307" s="112"/>
      <c r="K307" s="75">
        <f>K308</f>
        <v>1851001</v>
      </c>
      <c r="L307" s="112"/>
      <c r="M307" s="75">
        <f>M308</f>
        <v>1817966.19</v>
      </c>
      <c r="N307" s="113"/>
      <c r="O307" s="75">
        <f>O308</f>
        <v>1807966.19</v>
      </c>
      <c r="P307" s="113"/>
      <c r="Q307" s="75">
        <f>Q308</f>
        <v>1357495.19</v>
      </c>
      <c r="R307" s="113"/>
      <c r="S307" s="75">
        <f t="shared" si="14"/>
        <v>1346377.19</v>
      </c>
      <c r="T307" s="75">
        <f t="shared" si="14"/>
        <v>1107429.6400000001</v>
      </c>
      <c r="U307" s="56">
        <f t="shared" si="13"/>
        <v>82.3</v>
      </c>
    </row>
    <row r="308" spans="1:21" ht="67.5" customHeight="1">
      <c r="A308" s="11" t="s">
        <v>720</v>
      </c>
      <c r="B308" s="47" t="s">
        <v>114</v>
      </c>
      <c r="C308" s="47" t="s">
        <v>184</v>
      </c>
      <c r="D308" s="47" t="s">
        <v>667</v>
      </c>
      <c r="E308" s="47" t="s">
        <v>283</v>
      </c>
      <c r="F308" s="47"/>
      <c r="G308" s="61">
        <f>G309</f>
        <v>2085500</v>
      </c>
      <c r="H308" s="112"/>
      <c r="I308" s="61">
        <f>I309</f>
        <v>2075501</v>
      </c>
      <c r="J308" s="112"/>
      <c r="K308" s="75">
        <f>K309+K314</f>
        <v>1851001</v>
      </c>
      <c r="L308" s="112"/>
      <c r="M308" s="75">
        <f>M309+M314</f>
        <v>1817966.19</v>
      </c>
      <c r="N308" s="113"/>
      <c r="O308" s="75">
        <f>O309+O314</f>
        <v>1807966.19</v>
      </c>
      <c r="P308" s="113"/>
      <c r="Q308" s="75">
        <f>Q309+Q314</f>
        <v>1357495.19</v>
      </c>
      <c r="R308" s="113"/>
      <c r="S308" s="75">
        <f>S309+S314</f>
        <v>1346377.19</v>
      </c>
      <c r="T308" s="75">
        <f>T309+T314</f>
        <v>1107429.6400000001</v>
      </c>
      <c r="U308" s="56">
        <f t="shared" si="13"/>
        <v>82.3</v>
      </c>
    </row>
    <row r="309" spans="1:21" ht="30.75" customHeight="1">
      <c r="A309" s="31" t="s">
        <v>668</v>
      </c>
      <c r="B309" s="47" t="s">
        <v>114</v>
      </c>
      <c r="C309" s="47" t="s">
        <v>184</v>
      </c>
      <c r="D309" s="45" t="s">
        <v>613</v>
      </c>
      <c r="E309" s="45" t="s">
        <v>11</v>
      </c>
      <c r="F309" s="47"/>
      <c r="G309" s="61">
        <f>G313+G312</f>
        <v>2085500</v>
      </c>
      <c r="H309" s="112"/>
      <c r="I309" s="61">
        <f>I313+I312</f>
        <v>2075501</v>
      </c>
      <c r="J309" s="112"/>
      <c r="K309" s="75">
        <f>K313+K312</f>
        <v>1551001</v>
      </c>
      <c r="L309" s="112"/>
      <c r="M309" s="75">
        <f>M313+M312</f>
        <v>1517966.19</v>
      </c>
      <c r="N309" s="113"/>
      <c r="O309" s="75">
        <f>O313+O312</f>
        <v>1507966.19</v>
      </c>
      <c r="P309" s="113"/>
      <c r="Q309" s="75">
        <f>Q313+Q312</f>
        <v>1057495.19</v>
      </c>
      <c r="R309" s="113"/>
      <c r="S309" s="75">
        <f>S313+S312</f>
        <v>1050811.19</v>
      </c>
      <c r="T309" s="75">
        <f>T313+T312</f>
        <v>811863.64</v>
      </c>
      <c r="U309" s="56">
        <f t="shared" si="13"/>
        <v>77.3</v>
      </c>
    </row>
    <row r="310" spans="1:21" ht="66.75" customHeight="1" hidden="1">
      <c r="A310" s="19" t="s">
        <v>210</v>
      </c>
      <c r="B310" s="47" t="s">
        <v>114</v>
      </c>
      <c r="C310" s="47" t="s">
        <v>184</v>
      </c>
      <c r="D310" s="45" t="s">
        <v>613</v>
      </c>
      <c r="E310" s="45" t="s">
        <v>11</v>
      </c>
      <c r="F310" s="47"/>
      <c r="G310" s="68"/>
      <c r="H310" s="112"/>
      <c r="I310" s="68"/>
      <c r="J310" s="112"/>
      <c r="K310" s="121"/>
      <c r="L310" s="112"/>
      <c r="M310" s="121"/>
      <c r="N310" s="113"/>
      <c r="O310" s="121"/>
      <c r="P310" s="113"/>
      <c r="Q310" s="121"/>
      <c r="R310" s="113"/>
      <c r="S310" s="121"/>
      <c r="T310" s="121"/>
      <c r="U310" s="56" t="str">
        <f t="shared" si="13"/>
        <v>-</v>
      </c>
    </row>
    <row r="311" spans="1:21" ht="44.25" customHeight="1" hidden="1">
      <c r="A311" s="11" t="s">
        <v>222</v>
      </c>
      <c r="B311" s="47" t="s">
        <v>114</v>
      </c>
      <c r="C311" s="47" t="s">
        <v>184</v>
      </c>
      <c r="D311" s="45" t="s">
        <v>613</v>
      </c>
      <c r="E311" s="45" t="s">
        <v>11</v>
      </c>
      <c r="F311" s="47" t="s">
        <v>211</v>
      </c>
      <c r="G311" s="68"/>
      <c r="H311" s="112"/>
      <c r="I311" s="68"/>
      <c r="J311" s="112"/>
      <c r="K311" s="121"/>
      <c r="L311" s="112"/>
      <c r="M311" s="121"/>
      <c r="N311" s="113"/>
      <c r="O311" s="121"/>
      <c r="P311" s="113"/>
      <c r="Q311" s="121"/>
      <c r="R311" s="113"/>
      <c r="S311" s="121"/>
      <c r="T311" s="121"/>
      <c r="U311" s="56" t="str">
        <f t="shared" si="13"/>
        <v>-</v>
      </c>
    </row>
    <row r="312" spans="1:21" ht="33" customHeight="1">
      <c r="A312" s="92" t="s">
        <v>68</v>
      </c>
      <c r="B312" s="47" t="s">
        <v>114</v>
      </c>
      <c r="C312" s="47" t="s">
        <v>184</v>
      </c>
      <c r="D312" s="45" t="s">
        <v>613</v>
      </c>
      <c r="E312" s="45" t="s">
        <v>11</v>
      </c>
      <c r="F312" s="47" t="s">
        <v>59</v>
      </c>
      <c r="G312" s="74">
        <v>546000</v>
      </c>
      <c r="H312" s="112"/>
      <c r="I312" s="74">
        <f>G312+H312</f>
        <v>546000</v>
      </c>
      <c r="J312" s="112">
        <f>4283.61-300000</f>
        <v>-295716.39</v>
      </c>
      <c r="K312" s="74">
        <f>I312+J312</f>
        <v>250283.61</v>
      </c>
      <c r="L312" s="112"/>
      <c r="M312" s="74">
        <f>K312+L312</f>
        <v>250283.61</v>
      </c>
      <c r="N312" s="113"/>
      <c r="O312" s="74">
        <f>M312+N312</f>
        <v>250283.61</v>
      </c>
      <c r="P312" s="113">
        <f>-246000+30000</f>
        <v>-216000</v>
      </c>
      <c r="Q312" s="74">
        <f>O312+P312</f>
        <v>34283.609999999986</v>
      </c>
      <c r="R312" s="113"/>
      <c r="S312" s="74">
        <f>Q312+R312</f>
        <v>34283.609999999986</v>
      </c>
      <c r="T312" s="74">
        <v>4283.61</v>
      </c>
      <c r="U312" s="56">
        <f t="shared" si="13"/>
        <v>12.5</v>
      </c>
    </row>
    <row r="313" spans="1:21" ht="21" customHeight="1">
      <c r="A313" s="11" t="s">
        <v>213</v>
      </c>
      <c r="B313" s="47" t="s">
        <v>114</v>
      </c>
      <c r="C313" s="47" t="s">
        <v>184</v>
      </c>
      <c r="D313" s="47" t="s">
        <v>613</v>
      </c>
      <c r="E313" s="45" t="s">
        <v>11</v>
      </c>
      <c r="F313" s="47" t="s">
        <v>211</v>
      </c>
      <c r="G313" s="74">
        <v>1539500</v>
      </c>
      <c r="H313" s="112">
        <v>-9999</v>
      </c>
      <c r="I313" s="74">
        <f>G313+H313</f>
        <v>1529501</v>
      </c>
      <c r="J313" s="112">
        <v>-228783.61</v>
      </c>
      <c r="K313" s="74">
        <f>I313+J313</f>
        <v>1300717.3900000001</v>
      </c>
      <c r="L313" s="112">
        <v>-33034.81</v>
      </c>
      <c r="M313" s="74">
        <f>K313+L313</f>
        <v>1267682.58</v>
      </c>
      <c r="N313" s="113">
        <v>-10000</v>
      </c>
      <c r="O313" s="74">
        <f>M313+N313</f>
        <v>1257682.58</v>
      </c>
      <c r="P313" s="113">
        <f>-204471-30000</f>
        <v>-234471</v>
      </c>
      <c r="Q313" s="74">
        <f>O313+P313</f>
        <v>1023211.5800000001</v>
      </c>
      <c r="R313" s="113">
        <v>-6684</v>
      </c>
      <c r="S313" s="74">
        <f>Q313+R313</f>
        <v>1016527.5800000001</v>
      </c>
      <c r="T313" s="74">
        <v>807580.03</v>
      </c>
      <c r="U313" s="56">
        <f t="shared" si="13"/>
        <v>79.4</v>
      </c>
    </row>
    <row r="314" spans="1:21" ht="33.75" customHeight="1">
      <c r="A314" s="11" t="s">
        <v>725</v>
      </c>
      <c r="B314" s="47" t="s">
        <v>114</v>
      </c>
      <c r="C314" s="47" t="s">
        <v>184</v>
      </c>
      <c r="D314" s="47" t="s">
        <v>613</v>
      </c>
      <c r="E314" s="45" t="s">
        <v>726</v>
      </c>
      <c r="F314" s="47"/>
      <c r="G314" s="74"/>
      <c r="H314" s="112"/>
      <c r="I314" s="74"/>
      <c r="J314" s="112"/>
      <c r="K314" s="74">
        <f>K315</f>
        <v>300000</v>
      </c>
      <c r="L314" s="112"/>
      <c r="M314" s="74">
        <f>M315</f>
        <v>300000</v>
      </c>
      <c r="N314" s="113"/>
      <c r="O314" s="74">
        <f>O315</f>
        <v>300000</v>
      </c>
      <c r="P314" s="113"/>
      <c r="Q314" s="74">
        <f>Q315</f>
        <v>300000</v>
      </c>
      <c r="R314" s="113"/>
      <c r="S314" s="74">
        <f>S315</f>
        <v>295566</v>
      </c>
      <c r="T314" s="74">
        <f>T315</f>
        <v>295566</v>
      </c>
      <c r="U314" s="56">
        <f t="shared" si="13"/>
        <v>100</v>
      </c>
    </row>
    <row r="315" spans="1:21" ht="38.25" customHeight="1">
      <c r="A315" s="92" t="s">
        <v>68</v>
      </c>
      <c r="B315" s="47" t="s">
        <v>114</v>
      </c>
      <c r="C315" s="47" t="s">
        <v>184</v>
      </c>
      <c r="D315" s="45" t="s">
        <v>613</v>
      </c>
      <c r="E315" s="45" t="s">
        <v>726</v>
      </c>
      <c r="F315" s="47" t="s">
        <v>59</v>
      </c>
      <c r="G315" s="74"/>
      <c r="H315" s="112"/>
      <c r="I315" s="74"/>
      <c r="J315" s="112">
        <v>300000</v>
      </c>
      <c r="K315" s="74">
        <f>I315+J315</f>
        <v>300000</v>
      </c>
      <c r="L315" s="112"/>
      <c r="M315" s="74">
        <f>K315+L315</f>
        <v>300000</v>
      </c>
      <c r="N315" s="113"/>
      <c r="O315" s="74">
        <f>M315+N315</f>
        <v>300000</v>
      </c>
      <c r="P315" s="113"/>
      <c r="Q315" s="74">
        <f>O315+P315</f>
        <v>300000</v>
      </c>
      <c r="R315" s="113">
        <v>-4434</v>
      </c>
      <c r="S315" s="74">
        <f>Q315+R315</f>
        <v>295566</v>
      </c>
      <c r="T315" s="74">
        <v>295566</v>
      </c>
      <c r="U315" s="56">
        <f t="shared" si="13"/>
        <v>100</v>
      </c>
    </row>
    <row r="316" spans="1:21" ht="47.25" customHeight="1">
      <c r="A316" s="26" t="s">
        <v>182</v>
      </c>
      <c r="B316" s="51" t="s">
        <v>165</v>
      </c>
      <c r="C316" s="47"/>
      <c r="D316" s="47"/>
      <c r="E316" s="47"/>
      <c r="F316" s="47"/>
      <c r="G316" s="69">
        <f>G340+G317+G333+G346+G351</f>
        <v>6388830</v>
      </c>
      <c r="H316" s="112"/>
      <c r="I316" s="69">
        <f>I340+I317+I333+I346+I351</f>
        <v>6388830</v>
      </c>
      <c r="J316" s="112"/>
      <c r="K316" s="122">
        <f>K340+K317+K333+K346+K351</f>
        <v>6398830</v>
      </c>
      <c r="L316" s="112"/>
      <c r="M316" s="122">
        <f>M340+M317+M333+M346+M351</f>
        <v>6139270.3</v>
      </c>
      <c r="N316" s="113"/>
      <c r="O316" s="122">
        <f>O340+O317+O333+O346+O351</f>
        <v>6199270.3</v>
      </c>
      <c r="P316" s="113"/>
      <c r="Q316" s="122">
        <f>Q340+Q317+Q333+Q346+Q351</f>
        <v>5152398.95</v>
      </c>
      <c r="R316" s="113"/>
      <c r="S316" s="122">
        <f>S340+S317+S333+S346+S351</f>
        <v>4849398.95</v>
      </c>
      <c r="T316" s="122">
        <f>T340+T317+T333+T346+T351</f>
        <v>4218172.260000001</v>
      </c>
      <c r="U316" s="72">
        <f t="shared" si="13"/>
        <v>87</v>
      </c>
    </row>
    <row r="317" spans="1:21" ht="79.5" customHeight="1">
      <c r="A317" s="19" t="s">
        <v>614</v>
      </c>
      <c r="B317" s="45" t="s">
        <v>165</v>
      </c>
      <c r="C317" s="45" t="s">
        <v>171</v>
      </c>
      <c r="D317" s="45" t="s">
        <v>618</v>
      </c>
      <c r="E317" s="45" t="s">
        <v>374</v>
      </c>
      <c r="F317" s="47"/>
      <c r="G317" s="61">
        <f>G318+G321</f>
        <v>3017700</v>
      </c>
      <c r="H317" s="113"/>
      <c r="I317" s="61">
        <f>I318+I321</f>
        <v>3017700</v>
      </c>
      <c r="J317" s="112"/>
      <c r="K317" s="75">
        <f>K318+K321</f>
        <v>3087700</v>
      </c>
      <c r="L317" s="112"/>
      <c r="M317" s="75">
        <f>M318+M321</f>
        <v>3327700</v>
      </c>
      <c r="N317" s="113"/>
      <c r="O317" s="75">
        <f>O318+O321</f>
        <v>3387700</v>
      </c>
      <c r="P317" s="113"/>
      <c r="Q317" s="75">
        <f>Q318+Q321</f>
        <v>3284621.3200000003</v>
      </c>
      <c r="R317" s="113"/>
      <c r="S317" s="75">
        <f>S318+S321</f>
        <v>3203529.3200000003</v>
      </c>
      <c r="T317" s="75">
        <f>T318+T321</f>
        <v>2836637.2300000004</v>
      </c>
      <c r="U317" s="56">
        <f t="shared" si="13"/>
        <v>88.5</v>
      </c>
    </row>
    <row r="318" spans="1:21" ht="64.5" customHeight="1">
      <c r="A318" s="27" t="s">
        <v>615</v>
      </c>
      <c r="B318" s="45" t="s">
        <v>165</v>
      </c>
      <c r="C318" s="45" t="s">
        <v>171</v>
      </c>
      <c r="D318" s="45" t="s">
        <v>617</v>
      </c>
      <c r="E318" s="45" t="s">
        <v>375</v>
      </c>
      <c r="F318" s="45"/>
      <c r="G318" s="60">
        <f>G319</f>
        <v>180000</v>
      </c>
      <c r="H318" s="112"/>
      <c r="I318" s="60">
        <f>I319</f>
        <v>180000</v>
      </c>
      <c r="J318" s="112"/>
      <c r="K318" s="74">
        <f>K319</f>
        <v>180000</v>
      </c>
      <c r="L318" s="112"/>
      <c r="M318" s="74">
        <f>M319</f>
        <v>180000</v>
      </c>
      <c r="N318" s="113"/>
      <c r="O318" s="74">
        <f>O319</f>
        <v>180000</v>
      </c>
      <c r="P318" s="113"/>
      <c r="Q318" s="74">
        <f>Q319</f>
        <v>106300</v>
      </c>
      <c r="R318" s="113"/>
      <c r="S318" s="74">
        <f>S319</f>
        <v>66300</v>
      </c>
      <c r="T318" s="74">
        <f>T319</f>
        <v>56300</v>
      </c>
      <c r="U318" s="56">
        <f t="shared" si="13"/>
        <v>84.9</v>
      </c>
    </row>
    <row r="319" spans="1:21" ht="48.75" customHeight="1">
      <c r="A319" s="19" t="s">
        <v>212</v>
      </c>
      <c r="B319" s="45" t="s">
        <v>165</v>
      </c>
      <c r="C319" s="45" t="s">
        <v>171</v>
      </c>
      <c r="D319" s="45" t="s">
        <v>655</v>
      </c>
      <c r="E319" s="45" t="s">
        <v>376</v>
      </c>
      <c r="F319" s="45"/>
      <c r="G319" s="74">
        <f>G320</f>
        <v>180000</v>
      </c>
      <c r="H319" s="112"/>
      <c r="I319" s="74">
        <f>I320</f>
        <v>180000</v>
      </c>
      <c r="J319" s="112"/>
      <c r="K319" s="74">
        <f>K320</f>
        <v>180000</v>
      </c>
      <c r="L319" s="112"/>
      <c r="M319" s="74">
        <f>M320</f>
        <v>180000</v>
      </c>
      <c r="N319" s="113"/>
      <c r="O319" s="74">
        <f>O320</f>
        <v>180000</v>
      </c>
      <c r="P319" s="113"/>
      <c r="Q319" s="74">
        <f>Q320</f>
        <v>106300</v>
      </c>
      <c r="R319" s="113"/>
      <c r="S319" s="74">
        <f>S320</f>
        <v>66300</v>
      </c>
      <c r="T319" s="74">
        <f>T320</f>
        <v>56300</v>
      </c>
      <c r="U319" s="56">
        <f t="shared" si="13"/>
        <v>84.9</v>
      </c>
    </row>
    <row r="320" spans="1:21" ht="36" customHeight="1">
      <c r="A320" s="92" t="s">
        <v>68</v>
      </c>
      <c r="B320" s="45" t="s">
        <v>165</v>
      </c>
      <c r="C320" s="45" t="s">
        <v>171</v>
      </c>
      <c r="D320" s="45" t="s">
        <v>655</v>
      </c>
      <c r="E320" s="45" t="s">
        <v>376</v>
      </c>
      <c r="F320" s="45" t="s">
        <v>59</v>
      </c>
      <c r="G320" s="74">
        <v>180000</v>
      </c>
      <c r="H320" s="112"/>
      <c r="I320" s="74">
        <f>G320+H320</f>
        <v>180000</v>
      </c>
      <c r="J320" s="112"/>
      <c r="K320" s="74">
        <f>I320+J320</f>
        <v>180000</v>
      </c>
      <c r="L320" s="112"/>
      <c r="M320" s="74">
        <f>K320+L320</f>
        <v>180000</v>
      </c>
      <c r="N320" s="113"/>
      <c r="O320" s="74">
        <f>M320+N320</f>
        <v>180000</v>
      </c>
      <c r="P320" s="113">
        <v>-73700</v>
      </c>
      <c r="Q320" s="74">
        <f>O320+P320</f>
        <v>106300</v>
      </c>
      <c r="R320" s="113">
        <v>-40000</v>
      </c>
      <c r="S320" s="74">
        <f>Q320+R320</f>
        <v>66300</v>
      </c>
      <c r="T320" s="74">
        <v>56300</v>
      </c>
      <c r="U320" s="56">
        <f t="shared" si="13"/>
        <v>84.9</v>
      </c>
    </row>
    <row r="321" spans="1:21" ht="81" customHeight="1">
      <c r="A321" s="27" t="s">
        <v>693</v>
      </c>
      <c r="B321" s="45" t="s">
        <v>165</v>
      </c>
      <c r="C321" s="45" t="s">
        <v>171</v>
      </c>
      <c r="D321" s="45" t="s">
        <v>619</v>
      </c>
      <c r="E321" s="45" t="s">
        <v>377</v>
      </c>
      <c r="F321" s="45"/>
      <c r="G321" s="63">
        <f>G322+G325+G329</f>
        <v>2837700</v>
      </c>
      <c r="H321" s="112"/>
      <c r="I321" s="63">
        <f>I322+I325+I329</f>
        <v>2837700</v>
      </c>
      <c r="J321" s="112"/>
      <c r="K321" s="91">
        <f>K322+K325+K329+K331</f>
        <v>2907700</v>
      </c>
      <c r="L321" s="112"/>
      <c r="M321" s="91">
        <f>M322+M325+M329+M331</f>
        <v>3147700</v>
      </c>
      <c r="N321" s="113"/>
      <c r="O321" s="91">
        <f>O322+O325+O329+O331</f>
        <v>3207700</v>
      </c>
      <c r="P321" s="113"/>
      <c r="Q321" s="91">
        <f>Q322+Q325+Q329+Q331</f>
        <v>3178321.3200000003</v>
      </c>
      <c r="R321" s="113"/>
      <c r="S321" s="91">
        <f>S322+S325+S329+S331</f>
        <v>3137229.3200000003</v>
      </c>
      <c r="T321" s="91">
        <f>T322+T325+T329+T331</f>
        <v>2780337.2300000004</v>
      </c>
      <c r="U321" s="56">
        <f t="shared" si="13"/>
        <v>88.6</v>
      </c>
    </row>
    <row r="322" spans="1:21" ht="47.25" customHeight="1">
      <c r="A322" s="19" t="s">
        <v>563</v>
      </c>
      <c r="B322" s="45" t="s">
        <v>165</v>
      </c>
      <c r="C322" s="45" t="s">
        <v>171</v>
      </c>
      <c r="D322" s="45" t="s">
        <v>650</v>
      </c>
      <c r="E322" s="45" t="s">
        <v>378</v>
      </c>
      <c r="F322" s="45"/>
      <c r="G322" s="63">
        <f>G323+G324</f>
        <v>1804500</v>
      </c>
      <c r="H322" s="112"/>
      <c r="I322" s="63">
        <f>I323+I324</f>
        <v>1804500</v>
      </c>
      <c r="J322" s="112"/>
      <c r="K322" s="91">
        <f>K323+K324</f>
        <v>1804500</v>
      </c>
      <c r="L322" s="112"/>
      <c r="M322" s="91">
        <f>M323+M324</f>
        <v>1804500</v>
      </c>
      <c r="N322" s="113"/>
      <c r="O322" s="91">
        <f>O323+O324</f>
        <v>1804500</v>
      </c>
      <c r="P322" s="113"/>
      <c r="Q322" s="91">
        <f>Q323+Q324</f>
        <v>1800928.82</v>
      </c>
      <c r="R322" s="113"/>
      <c r="S322" s="91">
        <f>S323+S324</f>
        <v>1800928.82</v>
      </c>
      <c r="T322" s="91">
        <f>T323+T324</f>
        <v>1752413.9300000002</v>
      </c>
      <c r="U322" s="56">
        <f t="shared" si="13"/>
        <v>97.3</v>
      </c>
    </row>
    <row r="323" spans="1:21" ht="33" customHeight="1">
      <c r="A323" s="19" t="s">
        <v>49</v>
      </c>
      <c r="B323" s="45" t="s">
        <v>165</v>
      </c>
      <c r="C323" s="45" t="s">
        <v>171</v>
      </c>
      <c r="D323" s="45" t="s">
        <v>650</v>
      </c>
      <c r="E323" s="45" t="s">
        <v>378</v>
      </c>
      <c r="F323" s="45" t="s">
        <v>67</v>
      </c>
      <c r="G323" s="91">
        <v>1700400</v>
      </c>
      <c r="H323" s="112"/>
      <c r="I323" s="91">
        <f>G323+H323</f>
        <v>1700400</v>
      </c>
      <c r="J323" s="112"/>
      <c r="K323" s="91">
        <f>I323+J323</f>
        <v>1700400</v>
      </c>
      <c r="L323" s="112"/>
      <c r="M323" s="91">
        <f>K323+L323</f>
        <v>1700400</v>
      </c>
      <c r="N323" s="113"/>
      <c r="O323" s="91">
        <f>M323+N323</f>
        <v>1700400</v>
      </c>
      <c r="P323" s="113"/>
      <c r="Q323" s="91">
        <f>O323+P323</f>
        <v>1700400</v>
      </c>
      <c r="R323" s="113"/>
      <c r="S323" s="91">
        <f>Q323+R323</f>
        <v>1700400</v>
      </c>
      <c r="T323" s="91">
        <v>1684970.85</v>
      </c>
      <c r="U323" s="56">
        <f t="shared" si="13"/>
        <v>99.1</v>
      </c>
    </row>
    <row r="324" spans="1:21" ht="32.25" customHeight="1">
      <c r="A324" s="92" t="s">
        <v>68</v>
      </c>
      <c r="B324" s="45" t="s">
        <v>165</v>
      </c>
      <c r="C324" s="45" t="s">
        <v>171</v>
      </c>
      <c r="D324" s="45" t="s">
        <v>650</v>
      </c>
      <c r="E324" s="45" t="s">
        <v>378</v>
      </c>
      <c r="F324" s="45" t="s">
        <v>59</v>
      </c>
      <c r="G324" s="74">
        <v>104100</v>
      </c>
      <c r="H324" s="112"/>
      <c r="I324" s="74">
        <f>G324+H324</f>
        <v>104100</v>
      </c>
      <c r="J324" s="112"/>
      <c r="K324" s="74">
        <f>I324+J324</f>
        <v>104100</v>
      </c>
      <c r="L324" s="112"/>
      <c r="M324" s="74">
        <f>K324+L324</f>
        <v>104100</v>
      </c>
      <c r="N324" s="113"/>
      <c r="O324" s="74">
        <f>M324+N324</f>
        <v>104100</v>
      </c>
      <c r="P324" s="113">
        <v>-3571.18</v>
      </c>
      <c r="Q324" s="74">
        <f>O324+P324</f>
        <v>100528.82</v>
      </c>
      <c r="R324" s="113"/>
      <c r="S324" s="74">
        <f>Q324+R324</f>
        <v>100528.82</v>
      </c>
      <c r="T324" s="74">
        <v>67443.08</v>
      </c>
      <c r="U324" s="56">
        <f t="shared" si="13"/>
        <v>67.1</v>
      </c>
    </row>
    <row r="325" spans="1:21" ht="30" customHeight="1">
      <c r="A325" s="19" t="s">
        <v>163</v>
      </c>
      <c r="B325" s="45" t="s">
        <v>165</v>
      </c>
      <c r="C325" s="45" t="s">
        <v>171</v>
      </c>
      <c r="D325" s="45" t="s">
        <v>620</v>
      </c>
      <c r="E325" s="45" t="s">
        <v>379</v>
      </c>
      <c r="F325" s="45"/>
      <c r="G325" s="61">
        <f>G326+G327</f>
        <v>925200</v>
      </c>
      <c r="H325" s="112"/>
      <c r="I325" s="61">
        <f>I326+I327</f>
        <v>925200</v>
      </c>
      <c r="J325" s="112"/>
      <c r="K325" s="75">
        <f>K326+K327</f>
        <v>985200</v>
      </c>
      <c r="L325" s="112"/>
      <c r="M325" s="75">
        <f>M326+M327+M328</f>
        <v>1075200</v>
      </c>
      <c r="N325" s="113"/>
      <c r="O325" s="75">
        <f>O326+O327+O328</f>
        <v>1075200</v>
      </c>
      <c r="P325" s="113"/>
      <c r="Q325" s="75">
        <f>Q326+Q327+Q328</f>
        <v>1049392.5</v>
      </c>
      <c r="R325" s="113"/>
      <c r="S325" s="75">
        <f>S326+S327+S328</f>
        <v>1049392.5</v>
      </c>
      <c r="T325" s="75">
        <f>T326+T327+T328</f>
        <v>856974.18</v>
      </c>
      <c r="U325" s="56">
        <f t="shared" si="13"/>
        <v>81.7</v>
      </c>
    </row>
    <row r="326" spans="1:21" ht="30" customHeight="1">
      <c r="A326" s="20" t="s">
        <v>58</v>
      </c>
      <c r="B326" s="45" t="s">
        <v>165</v>
      </c>
      <c r="C326" s="45" t="s">
        <v>171</v>
      </c>
      <c r="D326" s="45" t="s">
        <v>620</v>
      </c>
      <c r="E326" s="45" t="s">
        <v>379</v>
      </c>
      <c r="F326" s="45" t="s">
        <v>57</v>
      </c>
      <c r="G326" s="75">
        <v>750969</v>
      </c>
      <c r="H326" s="112"/>
      <c r="I326" s="75">
        <f>G326+H326</f>
        <v>750969</v>
      </c>
      <c r="J326" s="112"/>
      <c r="K326" s="75">
        <f>I326+J326</f>
        <v>750969</v>
      </c>
      <c r="L326" s="112"/>
      <c r="M326" s="75">
        <f>K326+L326</f>
        <v>750969</v>
      </c>
      <c r="N326" s="113"/>
      <c r="O326" s="75">
        <f>M326+N326</f>
        <v>750969</v>
      </c>
      <c r="P326" s="113">
        <v>-57.5</v>
      </c>
      <c r="Q326" s="75">
        <f>O326+P326</f>
        <v>750911.5</v>
      </c>
      <c r="R326" s="113"/>
      <c r="S326" s="75">
        <f>Q326+R326</f>
        <v>750911.5</v>
      </c>
      <c r="T326" s="75">
        <v>627130.56</v>
      </c>
      <c r="U326" s="56">
        <f t="shared" si="13"/>
        <v>83.5</v>
      </c>
    </row>
    <row r="327" spans="1:21" ht="42" customHeight="1">
      <c r="A327" s="92" t="s">
        <v>68</v>
      </c>
      <c r="B327" s="45" t="s">
        <v>165</v>
      </c>
      <c r="C327" s="45" t="s">
        <v>171</v>
      </c>
      <c r="D327" s="45" t="s">
        <v>620</v>
      </c>
      <c r="E327" s="45" t="s">
        <v>379</v>
      </c>
      <c r="F327" s="45" t="s">
        <v>59</v>
      </c>
      <c r="G327" s="74">
        <v>174231</v>
      </c>
      <c r="H327" s="112"/>
      <c r="I327" s="74">
        <f>G327+H327</f>
        <v>174231</v>
      </c>
      <c r="J327" s="112">
        <v>60000</v>
      </c>
      <c r="K327" s="74">
        <f>I327+J327</f>
        <v>234231</v>
      </c>
      <c r="L327" s="112">
        <v>40000</v>
      </c>
      <c r="M327" s="74">
        <f>K327+L327</f>
        <v>274231</v>
      </c>
      <c r="N327" s="113"/>
      <c r="O327" s="74">
        <f>M327+N327</f>
        <v>274231</v>
      </c>
      <c r="P327" s="113">
        <v>24250</v>
      </c>
      <c r="Q327" s="74">
        <f>O327+P327</f>
        <v>298481</v>
      </c>
      <c r="R327" s="113"/>
      <c r="S327" s="74">
        <f>Q327+R327</f>
        <v>298481</v>
      </c>
      <c r="T327" s="74">
        <v>229843.62</v>
      </c>
      <c r="U327" s="56">
        <f t="shared" si="13"/>
        <v>77</v>
      </c>
    </row>
    <row r="328" spans="1:21" ht="19.5" customHeight="1" hidden="1">
      <c r="A328" s="27" t="s">
        <v>704</v>
      </c>
      <c r="B328" s="45" t="s">
        <v>165</v>
      </c>
      <c r="C328" s="45" t="s">
        <v>171</v>
      </c>
      <c r="D328" s="45" t="s">
        <v>620</v>
      </c>
      <c r="E328" s="45" t="s">
        <v>379</v>
      </c>
      <c r="F328" s="45" t="s">
        <v>703</v>
      </c>
      <c r="G328" s="74"/>
      <c r="H328" s="112"/>
      <c r="I328" s="74"/>
      <c r="J328" s="112"/>
      <c r="K328" s="74"/>
      <c r="L328" s="112">
        <v>50000</v>
      </c>
      <c r="M328" s="74">
        <f>K328+L328</f>
        <v>50000</v>
      </c>
      <c r="N328" s="113"/>
      <c r="O328" s="74">
        <f>M328+N328</f>
        <v>50000</v>
      </c>
      <c r="P328" s="113">
        <v>-50000</v>
      </c>
      <c r="Q328" s="74">
        <f>O328+P328</f>
        <v>0</v>
      </c>
      <c r="R328" s="113"/>
      <c r="S328" s="74">
        <f>Q328+R328</f>
        <v>0</v>
      </c>
      <c r="T328" s="74">
        <f>R328+S328</f>
        <v>0</v>
      </c>
      <c r="U328" s="56" t="str">
        <f t="shared" si="13"/>
        <v>-</v>
      </c>
    </row>
    <row r="329" spans="1:21" ht="18.75" customHeight="1">
      <c r="A329" s="11" t="s">
        <v>616</v>
      </c>
      <c r="B329" s="45" t="s">
        <v>165</v>
      </c>
      <c r="C329" s="45" t="s">
        <v>171</v>
      </c>
      <c r="D329" s="45" t="s">
        <v>663</v>
      </c>
      <c r="E329" s="45" t="s">
        <v>380</v>
      </c>
      <c r="F329" s="45"/>
      <c r="G329" s="61">
        <f>G330</f>
        <v>108000</v>
      </c>
      <c r="H329" s="112"/>
      <c r="I329" s="61">
        <f>I330</f>
        <v>108000</v>
      </c>
      <c r="J329" s="112"/>
      <c r="K329" s="75">
        <f>K330</f>
        <v>108000</v>
      </c>
      <c r="L329" s="112"/>
      <c r="M329" s="75">
        <f>M330</f>
        <v>258000</v>
      </c>
      <c r="N329" s="113"/>
      <c r="O329" s="75">
        <f>O330</f>
        <v>258000</v>
      </c>
      <c r="P329" s="113"/>
      <c r="Q329" s="75">
        <f>Q330</f>
        <v>258000</v>
      </c>
      <c r="R329" s="113"/>
      <c r="S329" s="75">
        <f>S330</f>
        <v>216908</v>
      </c>
      <c r="T329" s="75">
        <f>T330</f>
        <v>135694.24</v>
      </c>
      <c r="U329" s="56">
        <f t="shared" si="13"/>
        <v>62.6</v>
      </c>
    </row>
    <row r="330" spans="1:21" ht="31.5" customHeight="1">
      <c r="A330" s="92" t="s">
        <v>68</v>
      </c>
      <c r="B330" s="45" t="s">
        <v>165</v>
      </c>
      <c r="C330" s="45" t="s">
        <v>171</v>
      </c>
      <c r="D330" s="45" t="s">
        <v>663</v>
      </c>
      <c r="E330" s="45" t="s">
        <v>380</v>
      </c>
      <c r="F330" s="52" t="s">
        <v>59</v>
      </c>
      <c r="G330" s="75">
        <v>108000</v>
      </c>
      <c r="H330" s="112"/>
      <c r="I330" s="75">
        <f>G330+H330</f>
        <v>108000</v>
      </c>
      <c r="J330" s="112"/>
      <c r="K330" s="75">
        <f>I330+J330</f>
        <v>108000</v>
      </c>
      <c r="L330" s="112">
        <v>150000</v>
      </c>
      <c r="M330" s="75">
        <f>K330+L330</f>
        <v>258000</v>
      </c>
      <c r="N330" s="113"/>
      <c r="O330" s="75">
        <f>M330+N330</f>
        <v>258000</v>
      </c>
      <c r="P330" s="113"/>
      <c r="Q330" s="75">
        <f>O330+P330</f>
        <v>258000</v>
      </c>
      <c r="R330" s="113">
        <f>-150000+108908</f>
        <v>-41092</v>
      </c>
      <c r="S330" s="75">
        <f>Q330+R330</f>
        <v>216908</v>
      </c>
      <c r="T330" s="75">
        <v>135694.24</v>
      </c>
      <c r="U330" s="56">
        <f t="shared" si="13"/>
        <v>62.6</v>
      </c>
    </row>
    <row r="331" spans="1:21" ht="30.75" customHeight="1">
      <c r="A331" s="27" t="s">
        <v>22</v>
      </c>
      <c r="B331" s="45" t="s">
        <v>165</v>
      </c>
      <c r="C331" s="45" t="s">
        <v>171</v>
      </c>
      <c r="D331" s="45"/>
      <c r="E331" s="52" t="s">
        <v>23</v>
      </c>
      <c r="F331" s="52"/>
      <c r="G331" s="75"/>
      <c r="H331" s="112"/>
      <c r="I331" s="75"/>
      <c r="J331" s="112"/>
      <c r="K331" s="75">
        <f>K332</f>
        <v>10000</v>
      </c>
      <c r="L331" s="112"/>
      <c r="M331" s="75">
        <f>M332</f>
        <v>10000</v>
      </c>
      <c r="N331" s="113"/>
      <c r="O331" s="75">
        <f>O332</f>
        <v>70000</v>
      </c>
      <c r="P331" s="113"/>
      <c r="Q331" s="75">
        <f>Q332</f>
        <v>70000</v>
      </c>
      <c r="R331" s="113"/>
      <c r="S331" s="75">
        <f>S332</f>
        <v>70000</v>
      </c>
      <c r="T331" s="75">
        <f>T332</f>
        <v>35254.88</v>
      </c>
      <c r="U331" s="56">
        <f t="shared" si="13"/>
        <v>50.4</v>
      </c>
    </row>
    <row r="332" spans="1:21" ht="30.75" customHeight="1">
      <c r="A332" s="92" t="s">
        <v>68</v>
      </c>
      <c r="B332" s="45" t="s">
        <v>165</v>
      </c>
      <c r="C332" s="45" t="s">
        <v>171</v>
      </c>
      <c r="D332" s="45"/>
      <c r="E332" s="52" t="s">
        <v>23</v>
      </c>
      <c r="F332" s="52" t="s">
        <v>59</v>
      </c>
      <c r="G332" s="75"/>
      <c r="H332" s="112"/>
      <c r="I332" s="75"/>
      <c r="J332" s="112">
        <v>10000</v>
      </c>
      <c r="K332" s="74">
        <f>I332+J332</f>
        <v>10000</v>
      </c>
      <c r="L332" s="112"/>
      <c r="M332" s="74">
        <f>K332+L332</f>
        <v>10000</v>
      </c>
      <c r="N332" s="113">
        <v>60000</v>
      </c>
      <c r="O332" s="74">
        <f>M332+N332</f>
        <v>70000</v>
      </c>
      <c r="P332" s="113"/>
      <c r="Q332" s="74">
        <f>O332+P332</f>
        <v>70000</v>
      </c>
      <c r="R332" s="113"/>
      <c r="S332" s="74">
        <f>Q332+R332</f>
        <v>70000</v>
      </c>
      <c r="T332" s="74">
        <v>35254.88</v>
      </c>
      <c r="U332" s="56">
        <f t="shared" si="13"/>
        <v>50.4</v>
      </c>
    </row>
    <row r="333" spans="1:21" ht="36" customHeight="1">
      <c r="A333" s="9" t="s">
        <v>147</v>
      </c>
      <c r="B333" s="45" t="s">
        <v>165</v>
      </c>
      <c r="C333" s="45" t="s">
        <v>119</v>
      </c>
      <c r="D333" s="45"/>
      <c r="E333" s="52"/>
      <c r="F333" s="52"/>
      <c r="G333" s="56">
        <f>G334</f>
        <v>2590350</v>
      </c>
      <c r="H333" s="112"/>
      <c r="I333" s="56">
        <f>I334</f>
        <v>2590350</v>
      </c>
      <c r="J333" s="112"/>
      <c r="K333" s="76">
        <f>K334</f>
        <v>2530350</v>
      </c>
      <c r="L333" s="112"/>
      <c r="M333" s="76">
        <f>M334</f>
        <v>2030790.3</v>
      </c>
      <c r="N333" s="113"/>
      <c r="O333" s="76">
        <f>O334</f>
        <v>2030790.3</v>
      </c>
      <c r="P333" s="113"/>
      <c r="Q333" s="76">
        <f>Q334</f>
        <v>1100790.3</v>
      </c>
      <c r="R333" s="113"/>
      <c r="S333" s="76">
        <f>S334</f>
        <v>878882.3</v>
      </c>
      <c r="T333" s="76">
        <f>T334</f>
        <v>655907.32</v>
      </c>
      <c r="U333" s="56">
        <f aca="true" t="shared" si="15" ref="U333:U396">IF(S333=0,"-",IF(T333/S333*100&gt;110,"свыше 100",ROUND((T333/S333*100),1)))</f>
        <v>74.6</v>
      </c>
    </row>
    <row r="334" spans="1:21" ht="79.5" customHeight="1">
      <c r="A334" s="19" t="s">
        <v>614</v>
      </c>
      <c r="B334" s="45" t="s">
        <v>165</v>
      </c>
      <c r="C334" s="45" t="s">
        <v>119</v>
      </c>
      <c r="D334" s="45" t="s">
        <v>618</v>
      </c>
      <c r="E334" s="52" t="s">
        <v>374</v>
      </c>
      <c r="F334" s="52"/>
      <c r="G334" s="56">
        <f>G335</f>
        <v>2590350</v>
      </c>
      <c r="H334" s="112"/>
      <c r="I334" s="56">
        <f>I335</f>
        <v>2590350</v>
      </c>
      <c r="J334" s="112"/>
      <c r="K334" s="76">
        <f>K335</f>
        <v>2530350</v>
      </c>
      <c r="L334" s="112"/>
      <c r="M334" s="76">
        <f>M335</f>
        <v>2030790.3</v>
      </c>
      <c r="N334" s="113"/>
      <c r="O334" s="76">
        <f>O335</f>
        <v>2030790.3</v>
      </c>
      <c r="P334" s="113"/>
      <c r="Q334" s="76">
        <f>Q335</f>
        <v>1100790.3</v>
      </c>
      <c r="R334" s="113"/>
      <c r="S334" s="76">
        <f>S335</f>
        <v>878882.3</v>
      </c>
      <c r="T334" s="76">
        <f>T335</f>
        <v>655907.32</v>
      </c>
      <c r="U334" s="56">
        <f t="shared" si="15"/>
        <v>74.6</v>
      </c>
    </row>
    <row r="335" spans="1:21" ht="48" customHeight="1">
      <c r="A335" s="11" t="s">
        <v>657</v>
      </c>
      <c r="B335" s="45" t="s">
        <v>165</v>
      </c>
      <c r="C335" s="45" t="s">
        <v>119</v>
      </c>
      <c r="D335" s="45" t="s">
        <v>658</v>
      </c>
      <c r="E335" s="45" t="s">
        <v>462</v>
      </c>
      <c r="F335" s="45"/>
      <c r="G335" s="70">
        <f>G336+G338</f>
        <v>2590350</v>
      </c>
      <c r="H335" s="112"/>
      <c r="I335" s="70">
        <f>I336+I338</f>
        <v>2590350</v>
      </c>
      <c r="J335" s="112"/>
      <c r="K335" s="123">
        <f>K336+K338</f>
        <v>2530350</v>
      </c>
      <c r="L335" s="112"/>
      <c r="M335" s="123">
        <f>M336+M338</f>
        <v>2030790.3</v>
      </c>
      <c r="N335" s="113"/>
      <c r="O335" s="123">
        <f>O336+O338</f>
        <v>2030790.3</v>
      </c>
      <c r="P335" s="113"/>
      <c r="Q335" s="123">
        <f>Q336+Q338</f>
        <v>1100790.3</v>
      </c>
      <c r="R335" s="113"/>
      <c r="S335" s="123">
        <f>S336+S338</f>
        <v>878882.3</v>
      </c>
      <c r="T335" s="123">
        <f>T336+T338</f>
        <v>655907.32</v>
      </c>
      <c r="U335" s="56">
        <f t="shared" si="15"/>
        <v>74.6</v>
      </c>
    </row>
    <row r="336" spans="1:21" ht="33.75" customHeight="1">
      <c r="A336" s="34" t="s">
        <v>514</v>
      </c>
      <c r="B336" s="45" t="s">
        <v>165</v>
      </c>
      <c r="C336" s="45" t="s">
        <v>119</v>
      </c>
      <c r="D336" s="45" t="s">
        <v>659</v>
      </c>
      <c r="E336" s="45" t="s">
        <v>463</v>
      </c>
      <c r="F336" s="45"/>
      <c r="G336" s="70">
        <f>G337</f>
        <v>2410350</v>
      </c>
      <c r="H336" s="112"/>
      <c r="I336" s="70">
        <f>I337</f>
        <v>2410350</v>
      </c>
      <c r="J336" s="112"/>
      <c r="K336" s="123">
        <f>K337</f>
        <v>2350350</v>
      </c>
      <c r="L336" s="112"/>
      <c r="M336" s="123">
        <f>M337</f>
        <v>1850790.3</v>
      </c>
      <c r="N336" s="113"/>
      <c r="O336" s="123">
        <f>O337</f>
        <v>1850790.3</v>
      </c>
      <c r="P336" s="113"/>
      <c r="Q336" s="123">
        <f>Q337</f>
        <v>1050790.3</v>
      </c>
      <c r="R336" s="113"/>
      <c r="S336" s="123">
        <f>S337</f>
        <v>841882.3</v>
      </c>
      <c r="T336" s="123">
        <f>T337</f>
        <v>629166.32</v>
      </c>
      <c r="U336" s="56">
        <f t="shared" si="15"/>
        <v>74.7</v>
      </c>
    </row>
    <row r="337" spans="1:21" ht="33.75" customHeight="1">
      <c r="A337" s="9" t="s">
        <v>68</v>
      </c>
      <c r="B337" s="45" t="s">
        <v>165</v>
      </c>
      <c r="C337" s="45" t="s">
        <v>119</v>
      </c>
      <c r="D337" s="45" t="s">
        <v>659</v>
      </c>
      <c r="E337" s="45" t="s">
        <v>463</v>
      </c>
      <c r="F337" s="45" t="s">
        <v>59</v>
      </c>
      <c r="G337" s="74">
        <v>2410350</v>
      </c>
      <c r="H337" s="112"/>
      <c r="I337" s="74">
        <f>G337+H337</f>
        <v>2410350</v>
      </c>
      <c r="J337" s="112">
        <v>-60000</v>
      </c>
      <c r="K337" s="74">
        <f>I337+J337</f>
        <v>2350350</v>
      </c>
      <c r="L337" s="112">
        <f>-409559.7-90000</f>
        <v>-499559.7</v>
      </c>
      <c r="M337" s="74">
        <f>K337+L337</f>
        <v>1850790.3</v>
      </c>
      <c r="N337" s="113"/>
      <c r="O337" s="74">
        <f>M337+N337</f>
        <v>1850790.3</v>
      </c>
      <c r="P337" s="113">
        <v>-800000</v>
      </c>
      <c r="Q337" s="74">
        <f>O337+P337</f>
        <v>1050790.3</v>
      </c>
      <c r="R337" s="113">
        <f>-100000-108908</f>
        <v>-208908</v>
      </c>
      <c r="S337" s="74">
        <f>Q337+R337</f>
        <v>841882.3</v>
      </c>
      <c r="T337" s="74">
        <v>629166.32</v>
      </c>
      <c r="U337" s="56">
        <f t="shared" si="15"/>
        <v>74.7</v>
      </c>
    </row>
    <row r="338" spans="1:21" ht="30.75" customHeight="1">
      <c r="A338" s="11" t="s">
        <v>515</v>
      </c>
      <c r="B338" s="45" t="s">
        <v>165</v>
      </c>
      <c r="C338" s="45" t="s">
        <v>119</v>
      </c>
      <c r="D338" s="45" t="s">
        <v>694</v>
      </c>
      <c r="E338" s="45" t="s">
        <v>464</v>
      </c>
      <c r="F338" s="45"/>
      <c r="G338" s="66">
        <f>G339</f>
        <v>180000</v>
      </c>
      <c r="H338" s="112"/>
      <c r="I338" s="66">
        <f>I339</f>
        <v>180000</v>
      </c>
      <c r="J338" s="112"/>
      <c r="K338" s="104">
        <f>K339</f>
        <v>180000</v>
      </c>
      <c r="L338" s="112"/>
      <c r="M338" s="104">
        <f>M339</f>
        <v>180000</v>
      </c>
      <c r="N338" s="113"/>
      <c r="O338" s="104">
        <f>O339</f>
        <v>180000</v>
      </c>
      <c r="P338" s="113"/>
      <c r="Q338" s="104">
        <f>Q339</f>
        <v>50000</v>
      </c>
      <c r="R338" s="113"/>
      <c r="S338" s="104">
        <f>S339</f>
        <v>37000</v>
      </c>
      <c r="T338" s="104">
        <f>T339</f>
        <v>26741</v>
      </c>
      <c r="U338" s="56">
        <f t="shared" si="15"/>
        <v>72.3</v>
      </c>
    </row>
    <row r="339" spans="1:21" ht="33.75" customHeight="1">
      <c r="A339" s="9" t="s">
        <v>68</v>
      </c>
      <c r="B339" s="45" t="s">
        <v>165</v>
      </c>
      <c r="C339" s="45" t="s">
        <v>119</v>
      </c>
      <c r="D339" s="45" t="s">
        <v>694</v>
      </c>
      <c r="E339" s="45" t="s">
        <v>464</v>
      </c>
      <c r="F339" s="45" t="s">
        <v>59</v>
      </c>
      <c r="G339" s="74">
        <v>180000</v>
      </c>
      <c r="H339" s="112"/>
      <c r="I339" s="74">
        <f>G339+H339</f>
        <v>180000</v>
      </c>
      <c r="J339" s="112"/>
      <c r="K339" s="74">
        <f>I339+J339</f>
        <v>180000</v>
      </c>
      <c r="L339" s="112"/>
      <c r="M339" s="74">
        <f>K339+L339</f>
        <v>180000</v>
      </c>
      <c r="N339" s="113"/>
      <c r="O339" s="74">
        <f>M339+N339</f>
        <v>180000</v>
      </c>
      <c r="P339" s="113">
        <v>-130000</v>
      </c>
      <c r="Q339" s="74">
        <f>O339+P339</f>
        <v>50000</v>
      </c>
      <c r="R339" s="113">
        <v>-13000</v>
      </c>
      <c r="S339" s="74">
        <f>Q339+R339</f>
        <v>37000</v>
      </c>
      <c r="T339" s="74">
        <v>26741</v>
      </c>
      <c r="U339" s="56">
        <f t="shared" si="15"/>
        <v>72.3</v>
      </c>
    </row>
    <row r="340" spans="1:21" ht="17.25" customHeight="1">
      <c r="A340" s="11" t="s">
        <v>148</v>
      </c>
      <c r="B340" s="81">
        <v>902</v>
      </c>
      <c r="C340" s="45" t="s">
        <v>104</v>
      </c>
      <c r="D340" s="45"/>
      <c r="E340" s="45"/>
      <c r="F340" s="45"/>
      <c r="G340" s="74">
        <f>G341</f>
        <v>491130</v>
      </c>
      <c r="H340" s="112"/>
      <c r="I340" s="74">
        <f>I341</f>
        <v>491130</v>
      </c>
      <c r="J340" s="112"/>
      <c r="K340" s="74">
        <f>K341</f>
        <v>491130</v>
      </c>
      <c r="L340" s="112"/>
      <c r="M340" s="74">
        <f>M341</f>
        <v>491130</v>
      </c>
      <c r="N340" s="113"/>
      <c r="O340" s="74">
        <f>O341</f>
        <v>491130</v>
      </c>
      <c r="P340" s="113"/>
      <c r="Q340" s="74">
        <f>Q341</f>
        <v>491130</v>
      </c>
      <c r="R340" s="113"/>
      <c r="S340" s="74">
        <f aca="true" t="shared" si="16" ref="S340:T344">S341</f>
        <v>491130</v>
      </c>
      <c r="T340" s="74">
        <f t="shared" si="16"/>
        <v>449771.35</v>
      </c>
      <c r="U340" s="56">
        <f t="shared" si="15"/>
        <v>91.6</v>
      </c>
    </row>
    <row r="341" spans="1:21" ht="15.75" customHeight="1">
      <c r="A341" s="35" t="s">
        <v>149</v>
      </c>
      <c r="B341" s="78">
        <v>902</v>
      </c>
      <c r="C341" s="45" t="s">
        <v>105</v>
      </c>
      <c r="D341" s="45"/>
      <c r="E341" s="45"/>
      <c r="F341" s="45"/>
      <c r="G341" s="74">
        <f>G342</f>
        <v>491130</v>
      </c>
      <c r="H341" s="112"/>
      <c r="I341" s="74">
        <f>I342</f>
        <v>491130</v>
      </c>
      <c r="J341" s="112"/>
      <c r="K341" s="74">
        <f>K342</f>
        <v>491130</v>
      </c>
      <c r="L341" s="112"/>
      <c r="M341" s="74">
        <f>M342</f>
        <v>491130</v>
      </c>
      <c r="N341" s="113"/>
      <c r="O341" s="74">
        <f>O342</f>
        <v>491130</v>
      </c>
      <c r="P341" s="113"/>
      <c r="Q341" s="74">
        <f>Q342</f>
        <v>491130</v>
      </c>
      <c r="R341" s="113"/>
      <c r="S341" s="74">
        <f t="shared" si="16"/>
        <v>491130</v>
      </c>
      <c r="T341" s="74">
        <f t="shared" si="16"/>
        <v>449771.35</v>
      </c>
      <c r="U341" s="56">
        <f t="shared" si="15"/>
        <v>91.6</v>
      </c>
    </row>
    <row r="342" spans="1:21" ht="80.25" customHeight="1">
      <c r="A342" s="79" t="s">
        <v>559</v>
      </c>
      <c r="B342" s="81">
        <v>902</v>
      </c>
      <c r="C342" s="45" t="s">
        <v>105</v>
      </c>
      <c r="D342" s="45" t="s">
        <v>618</v>
      </c>
      <c r="E342" s="45" t="s">
        <v>374</v>
      </c>
      <c r="F342" s="45"/>
      <c r="G342" s="74">
        <f>G343</f>
        <v>491130</v>
      </c>
      <c r="H342" s="112"/>
      <c r="I342" s="74">
        <f>I343</f>
        <v>491130</v>
      </c>
      <c r="J342" s="112"/>
      <c r="K342" s="74">
        <f>K343</f>
        <v>491130</v>
      </c>
      <c r="L342" s="112"/>
      <c r="M342" s="74">
        <f>M343</f>
        <v>491130</v>
      </c>
      <c r="N342" s="113"/>
      <c r="O342" s="74">
        <f>O343</f>
        <v>491130</v>
      </c>
      <c r="P342" s="113"/>
      <c r="Q342" s="74">
        <f>Q343</f>
        <v>491130</v>
      </c>
      <c r="R342" s="113"/>
      <c r="S342" s="74">
        <f t="shared" si="16"/>
        <v>491130</v>
      </c>
      <c r="T342" s="74">
        <f t="shared" si="16"/>
        <v>449771.35</v>
      </c>
      <c r="U342" s="56">
        <f t="shared" si="15"/>
        <v>91.6</v>
      </c>
    </row>
    <row r="343" spans="1:21" ht="51" customHeight="1">
      <c r="A343" s="79" t="s">
        <v>730</v>
      </c>
      <c r="B343" s="81">
        <v>902</v>
      </c>
      <c r="C343" s="45" t="s">
        <v>105</v>
      </c>
      <c r="D343" s="45" t="s">
        <v>731</v>
      </c>
      <c r="E343" s="45" t="s">
        <v>284</v>
      </c>
      <c r="F343" s="45"/>
      <c r="G343" s="74">
        <f>G344</f>
        <v>491130</v>
      </c>
      <c r="H343" s="112"/>
      <c r="I343" s="74">
        <f>I344</f>
        <v>491130</v>
      </c>
      <c r="J343" s="112"/>
      <c r="K343" s="74">
        <f>K344</f>
        <v>491130</v>
      </c>
      <c r="L343" s="112"/>
      <c r="M343" s="74">
        <f>M344</f>
        <v>491130</v>
      </c>
      <c r="N343" s="113"/>
      <c r="O343" s="74">
        <f>O344</f>
        <v>491130</v>
      </c>
      <c r="P343" s="113"/>
      <c r="Q343" s="74">
        <f>Q344</f>
        <v>491130</v>
      </c>
      <c r="R343" s="113"/>
      <c r="S343" s="74">
        <f t="shared" si="16"/>
        <v>491130</v>
      </c>
      <c r="T343" s="74">
        <f t="shared" si="16"/>
        <v>449771.35</v>
      </c>
      <c r="U343" s="56">
        <f t="shared" si="15"/>
        <v>91.6</v>
      </c>
    </row>
    <row r="344" spans="1:21" ht="35.25" customHeight="1">
      <c r="A344" s="80" t="s">
        <v>732</v>
      </c>
      <c r="B344" s="81">
        <v>902</v>
      </c>
      <c r="C344" s="45" t="s">
        <v>105</v>
      </c>
      <c r="D344" s="45" t="s">
        <v>733</v>
      </c>
      <c r="E344" s="45" t="s">
        <v>285</v>
      </c>
      <c r="F344" s="45"/>
      <c r="G344" s="74">
        <f>G345</f>
        <v>491130</v>
      </c>
      <c r="H344" s="112"/>
      <c r="I344" s="74">
        <f>I345</f>
        <v>491130</v>
      </c>
      <c r="J344" s="112"/>
      <c r="K344" s="74">
        <f>K345</f>
        <v>491130</v>
      </c>
      <c r="L344" s="112"/>
      <c r="M344" s="74">
        <f>M345</f>
        <v>491130</v>
      </c>
      <c r="N344" s="113"/>
      <c r="O344" s="74">
        <f>O345</f>
        <v>491130</v>
      </c>
      <c r="P344" s="113"/>
      <c r="Q344" s="74">
        <f>Q345</f>
        <v>491130</v>
      </c>
      <c r="R344" s="113"/>
      <c r="S344" s="74">
        <f t="shared" si="16"/>
        <v>491130</v>
      </c>
      <c r="T344" s="74">
        <f t="shared" si="16"/>
        <v>449771.35</v>
      </c>
      <c r="U344" s="56">
        <f t="shared" si="15"/>
        <v>91.6</v>
      </c>
    </row>
    <row r="345" spans="1:21" ht="35.25" customHeight="1">
      <c r="A345" s="92" t="s">
        <v>68</v>
      </c>
      <c r="B345" s="96">
        <v>902</v>
      </c>
      <c r="C345" s="45" t="s">
        <v>105</v>
      </c>
      <c r="D345" s="45" t="s">
        <v>733</v>
      </c>
      <c r="E345" s="45" t="s">
        <v>285</v>
      </c>
      <c r="F345" s="45" t="s">
        <v>59</v>
      </c>
      <c r="G345" s="74">
        <v>491130</v>
      </c>
      <c r="H345" s="112"/>
      <c r="I345" s="74">
        <f>G345+H345</f>
        <v>491130</v>
      </c>
      <c r="J345" s="112"/>
      <c r="K345" s="74">
        <f>I345+J345</f>
        <v>491130</v>
      </c>
      <c r="L345" s="112"/>
      <c r="M345" s="74">
        <f>K345+L345</f>
        <v>491130</v>
      </c>
      <c r="N345" s="113"/>
      <c r="O345" s="74">
        <f>M345+N345</f>
        <v>491130</v>
      </c>
      <c r="P345" s="113"/>
      <c r="Q345" s="74">
        <f>O345+P345</f>
        <v>491130</v>
      </c>
      <c r="R345" s="113"/>
      <c r="S345" s="74">
        <f>Q345+R345</f>
        <v>491130</v>
      </c>
      <c r="T345" s="74">
        <v>449771.35</v>
      </c>
      <c r="U345" s="56">
        <f t="shared" si="15"/>
        <v>91.6</v>
      </c>
    </row>
    <row r="346" spans="1:21" ht="16.5" customHeight="1" hidden="1">
      <c r="A346" s="17" t="s">
        <v>156</v>
      </c>
      <c r="B346" s="81">
        <v>902</v>
      </c>
      <c r="C346" s="47" t="s">
        <v>126</v>
      </c>
      <c r="D346" s="47"/>
      <c r="E346" s="47"/>
      <c r="F346" s="47"/>
      <c r="G346" s="74">
        <f>G347</f>
        <v>0</v>
      </c>
      <c r="H346" s="112"/>
      <c r="I346" s="74">
        <f>I347</f>
        <v>0</v>
      </c>
      <c r="J346" s="112"/>
      <c r="K346" s="74">
        <f>K347</f>
        <v>0</v>
      </c>
      <c r="L346" s="112"/>
      <c r="M346" s="74">
        <f>M347</f>
        <v>0</v>
      </c>
      <c r="N346" s="113"/>
      <c r="O346" s="74">
        <f>O347</f>
        <v>0</v>
      </c>
      <c r="P346" s="113"/>
      <c r="Q346" s="74">
        <f>Q347</f>
        <v>0</v>
      </c>
      <c r="R346" s="113"/>
      <c r="S346" s="74">
        <f aca="true" t="shared" si="17" ref="S346:T349">S347</f>
        <v>0</v>
      </c>
      <c r="T346" s="74">
        <f t="shared" si="17"/>
        <v>0</v>
      </c>
      <c r="U346" s="56" t="str">
        <f t="shared" si="15"/>
        <v>-</v>
      </c>
    </row>
    <row r="347" spans="1:21" ht="16.5" customHeight="1" hidden="1">
      <c r="A347" s="17" t="s">
        <v>157</v>
      </c>
      <c r="B347" s="81">
        <v>902</v>
      </c>
      <c r="C347" s="47" t="s">
        <v>140</v>
      </c>
      <c r="D347" s="47"/>
      <c r="E347" s="47"/>
      <c r="F347" s="47"/>
      <c r="G347" s="74">
        <f>G348</f>
        <v>0</v>
      </c>
      <c r="H347" s="112"/>
      <c r="I347" s="74">
        <f>I348</f>
        <v>0</v>
      </c>
      <c r="J347" s="112"/>
      <c r="K347" s="74">
        <f>K348</f>
        <v>0</v>
      </c>
      <c r="L347" s="112"/>
      <c r="M347" s="74">
        <f>M348</f>
        <v>0</v>
      </c>
      <c r="N347" s="113"/>
      <c r="O347" s="74">
        <f>O348</f>
        <v>0</v>
      </c>
      <c r="P347" s="113"/>
      <c r="Q347" s="74">
        <f>Q348</f>
        <v>0</v>
      </c>
      <c r="R347" s="113"/>
      <c r="S347" s="74">
        <f t="shared" si="17"/>
        <v>0</v>
      </c>
      <c r="T347" s="74">
        <f t="shared" si="17"/>
        <v>0</v>
      </c>
      <c r="U347" s="56" t="str">
        <f t="shared" si="15"/>
        <v>-</v>
      </c>
    </row>
    <row r="348" spans="1:21" ht="16.5" customHeight="1" hidden="1">
      <c r="A348" s="16" t="s">
        <v>609</v>
      </c>
      <c r="B348" s="81">
        <v>902</v>
      </c>
      <c r="C348" s="47" t="s">
        <v>140</v>
      </c>
      <c r="D348" s="47" t="s">
        <v>571</v>
      </c>
      <c r="E348" s="47" t="s">
        <v>357</v>
      </c>
      <c r="F348" s="47"/>
      <c r="G348" s="74">
        <f>G349</f>
        <v>0</v>
      </c>
      <c r="H348" s="112"/>
      <c r="I348" s="74">
        <f>I349</f>
        <v>0</v>
      </c>
      <c r="J348" s="112"/>
      <c r="K348" s="74">
        <f>K349</f>
        <v>0</v>
      </c>
      <c r="L348" s="112"/>
      <c r="M348" s="74">
        <f>M349</f>
        <v>0</v>
      </c>
      <c r="N348" s="113"/>
      <c r="O348" s="74">
        <f>O349</f>
        <v>0</v>
      </c>
      <c r="P348" s="113"/>
      <c r="Q348" s="74">
        <f>Q349</f>
        <v>0</v>
      </c>
      <c r="R348" s="113"/>
      <c r="S348" s="74">
        <f t="shared" si="17"/>
        <v>0</v>
      </c>
      <c r="T348" s="74">
        <f t="shared" si="17"/>
        <v>0</v>
      </c>
      <c r="U348" s="56" t="str">
        <f t="shared" si="15"/>
        <v>-</v>
      </c>
    </row>
    <row r="349" spans="1:21" ht="32.25" customHeight="1" hidden="1">
      <c r="A349" s="16" t="s">
        <v>287</v>
      </c>
      <c r="B349" s="81">
        <v>902</v>
      </c>
      <c r="C349" s="47" t="s">
        <v>140</v>
      </c>
      <c r="D349" s="47" t="s">
        <v>610</v>
      </c>
      <c r="E349" s="47" t="s">
        <v>286</v>
      </c>
      <c r="F349" s="47"/>
      <c r="G349" s="74">
        <f>G350</f>
        <v>0</v>
      </c>
      <c r="H349" s="112"/>
      <c r="I349" s="74">
        <f>I350</f>
        <v>0</v>
      </c>
      <c r="J349" s="112"/>
      <c r="K349" s="74">
        <f>K350</f>
        <v>0</v>
      </c>
      <c r="L349" s="112"/>
      <c r="M349" s="74">
        <f>M350</f>
        <v>0</v>
      </c>
      <c r="N349" s="113"/>
      <c r="O349" s="74">
        <f>O350</f>
        <v>0</v>
      </c>
      <c r="P349" s="113"/>
      <c r="Q349" s="74">
        <f>Q350</f>
        <v>0</v>
      </c>
      <c r="R349" s="113"/>
      <c r="S349" s="74">
        <f t="shared" si="17"/>
        <v>0</v>
      </c>
      <c r="T349" s="74">
        <f t="shared" si="17"/>
        <v>0</v>
      </c>
      <c r="U349" s="56" t="str">
        <f t="shared" si="15"/>
        <v>-</v>
      </c>
    </row>
    <row r="350" spans="1:21" ht="32.25" customHeight="1" hidden="1">
      <c r="A350" s="16" t="s">
        <v>596</v>
      </c>
      <c r="B350" s="81">
        <v>902</v>
      </c>
      <c r="C350" s="47" t="s">
        <v>140</v>
      </c>
      <c r="D350" s="47" t="s">
        <v>555</v>
      </c>
      <c r="E350" s="47" t="s">
        <v>286</v>
      </c>
      <c r="F350" s="47" t="s">
        <v>214</v>
      </c>
      <c r="G350" s="74"/>
      <c r="H350" s="112"/>
      <c r="I350" s="74"/>
      <c r="J350" s="112"/>
      <c r="K350" s="74"/>
      <c r="L350" s="112"/>
      <c r="M350" s="74"/>
      <c r="N350" s="113"/>
      <c r="O350" s="74"/>
      <c r="P350" s="113"/>
      <c r="Q350" s="74"/>
      <c r="R350" s="113"/>
      <c r="S350" s="74"/>
      <c r="T350" s="74"/>
      <c r="U350" s="56" t="str">
        <f t="shared" si="15"/>
        <v>-</v>
      </c>
    </row>
    <row r="351" spans="1:21" ht="20.25" customHeight="1">
      <c r="A351" s="9" t="s">
        <v>156</v>
      </c>
      <c r="B351" s="47" t="s">
        <v>165</v>
      </c>
      <c r="C351" s="47" t="s">
        <v>126</v>
      </c>
      <c r="D351" s="47"/>
      <c r="E351" s="47"/>
      <c r="F351" s="47"/>
      <c r="G351" s="74">
        <f>G352</f>
        <v>289650</v>
      </c>
      <c r="H351" s="112"/>
      <c r="I351" s="74">
        <f>I352</f>
        <v>289650</v>
      </c>
      <c r="J351" s="112"/>
      <c r="K351" s="74">
        <f>K352</f>
        <v>289650</v>
      </c>
      <c r="L351" s="112"/>
      <c r="M351" s="74">
        <f>M352</f>
        <v>289650</v>
      </c>
      <c r="N351" s="113"/>
      <c r="O351" s="74">
        <f>O352</f>
        <v>289650</v>
      </c>
      <c r="P351" s="113"/>
      <c r="Q351" s="74">
        <f>Q352</f>
        <v>275857.33</v>
      </c>
      <c r="R351" s="113"/>
      <c r="S351" s="74">
        <f aca="true" t="shared" si="18" ref="S351:T354">S352</f>
        <v>275857.33</v>
      </c>
      <c r="T351" s="74">
        <f t="shared" si="18"/>
        <v>275856.36</v>
      </c>
      <c r="U351" s="56">
        <f t="shared" si="15"/>
        <v>100</v>
      </c>
    </row>
    <row r="352" spans="1:21" ht="19.5" customHeight="1">
      <c r="A352" s="9" t="s">
        <v>157</v>
      </c>
      <c r="B352" s="47" t="s">
        <v>165</v>
      </c>
      <c r="C352" s="47" t="s">
        <v>140</v>
      </c>
      <c r="D352" s="47"/>
      <c r="E352" s="47"/>
      <c r="F352" s="47"/>
      <c r="G352" s="74">
        <f>G353</f>
        <v>289650</v>
      </c>
      <c r="H352" s="112"/>
      <c r="I352" s="74">
        <f>I353</f>
        <v>289650</v>
      </c>
      <c r="J352" s="112"/>
      <c r="K352" s="74">
        <f>K353</f>
        <v>289650</v>
      </c>
      <c r="L352" s="112"/>
      <c r="M352" s="74">
        <f>M353</f>
        <v>289650</v>
      </c>
      <c r="N352" s="113"/>
      <c r="O352" s="74">
        <f>O353</f>
        <v>289650</v>
      </c>
      <c r="P352" s="113"/>
      <c r="Q352" s="74">
        <f>Q353</f>
        <v>275857.33</v>
      </c>
      <c r="R352" s="113"/>
      <c r="S352" s="74">
        <f t="shared" si="18"/>
        <v>275857.33</v>
      </c>
      <c r="T352" s="74">
        <f t="shared" si="18"/>
        <v>275856.36</v>
      </c>
      <c r="U352" s="56">
        <f t="shared" si="15"/>
        <v>100</v>
      </c>
    </row>
    <row r="353" spans="1:21" ht="18" customHeight="1">
      <c r="A353" s="16" t="s">
        <v>609</v>
      </c>
      <c r="B353" s="47" t="s">
        <v>165</v>
      </c>
      <c r="C353" s="47" t="s">
        <v>140</v>
      </c>
      <c r="D353" s="47" t="s">
        <v>571</v>
      </c>
      <c r="E353" s="47" t="s">
        <v>357</v>
      </c>
      <c r="F353" s="47"/>
      <c r="G353" s="74">
        <f>G354</f>
        <v>289650</v>
      </c>
      <c r="H353" s="112"/>
      <c r="I353" s="74">
        <f>I354</f>
        <v>289650</v>
      </c>
      <c r="J353" s="112"/>
      <c r="K353" s="74">
        <f>K354</f>
        <v>289650</v>
      </c>
      <c r="L353" s="112"/>
      <c r="M353" s="74">
        <f>M354</f>
        <v>289650</v>
      </c>
      <c r="N353" s="113"/>
      <c r="O353" s="74">
        <f>O354</f>
        <v>289650</v>
      </c>
      <c r="P353" s="113"/>
      <c r="Q353" s="74">
        <f>Q354</f>
        <v>275857.33</v>
      </c>
      <c r="R353" s="113"/>
      <c r="S353" s="74">
        <f t="shared" si="18"/>
        <v>275857.33</v>
      </c>
      <c r="T353" s="74">
        <f t="shared" si="18"/>
        <v>275856.36</v>
      </c>
      <c r="U353" s="56">
        <f t="shared" si="15"/>
        <v>100</v>
      </c>
    </row>
    <row r="354" spans="1:21" ht="33.75" customHeight="1">
      <c r="A354" s="16" t="s">
        <v>287</v>
      </c>
      <c r="B354" s="47" t="s">
        <v>165</v>
      </c>
      <c r="C354" s="47" t="s">
        <v>140</v>
      </c>
      <c r="D354" s="47" t="s">
        <v>555</v>
      </c>
      <c r="E354" s="47" t="s">
        <v>286</v>
      </c>
      <c r="F354" s="47"/>
      <c r="G354" s="74">
        <f>G355</f>
        <v>289650</v>
      </c>
      <c r="H354" s="112"/>
      <c r="I354" s="74">
        <f>I355</f>
        <v>289650</v>
      </c>
      <c r="J354" s="112"/>
      <c r="K354" s="74">
        <f>K355</f>
        <v>289650</v>
      </c>
      <c r="L354" s="112"/>
      <c r="M354" s="74">
        <f>M355</f>
        <v>289650</v>
      </c>
      <c r="N354" s="113"/>
      <c r="O354" s="74">
        <f>O355</f>
        <v>289650</v>
      </c>
      <c r="P354" s="113"/>
      <c r="Q354" s="74">
        <f>Q355</f>
        <v>275857.33</v>
      </c>
      <c r="R354" s="113"/>
      <c r="S354" s="74">
        <f t="shared" si="18"/>
        <v>275857.33</v>
      </c>
      <c r="T354" s="74">
        <f t="shared" si="18"/>
        <v>275856.36</v>
      </c>
      <c r="U354" s="56">
        <f t="shared" si="15"/>
        <v>100</v>
      </c>
    </row>
    <row r="355" spans="1:21" ht="32.25" customHeight="1">
      <c r="A355" s="16" t="s">
        <v>47</v>
      </c>
      <c r="B355" s="47" t="s">
        <v>165</v>
      </c>
      <c r="C355" s="47" t="s">
        <v>140</v>
      </c>
      <c r="D355" s="47" t="s">
        <v>555</v>
      </c>
      <c r="E355" s="47" t="s">
        <v>286</v>
      </c>
      <c r="F355" s="47" t="s">
        <v>72</v>
      </c>
      <c r="G355" s="74">
        <v>289650</v>
      </c>
      <c r="H355" s="112"/>
      <c r="I355" s="74">
        <f>G355+H355</f>
        <v>289650</v>
      </c>
      <c r="J355" s="112"/>
      <c r="K355" s="74">
        <f>I355+J355</f>
        <v>289650</v>
      </c>
      <c r="L355" s="112"/>
      <c r="M355" s="74">
        <f>K355+L355</f>
        <v>289650</v>
      </c>
      <c r="N355" s="113"/>
      <c r="O355" s="74">
        <f>M355+N355</f>
        <v>289650</v>
      </c>
      <c r="P355" s="113">
        <v>-13792.67</v>
      </c>
      <c r="Q355" s="74">
        <f>O355+P355</f>
        <v>275857.33</v>
      </c>
      <c r="R355" s="113"/>
      <c r="S355" s="74">
        <f>Q355+R355</f>
        <v>275857.33</v>
      </c>
      <c r="T355" s="74">
        <v>275856.36</v>
      </c>
      <c r="U355" s="56">
        <f t="shared" si="15"/>
        <v>100</v>
      </c>
    </row>
    <row r="356" spans="1:21" s="1" customFormat="1" ht="34.5" customHeight="1">
      <c r="A356" s="8" t="s">
        <v>166</v>
      </c>
      <c r="B356" s="44" t="s">
        <v>136</v>
      </c>
      <c r="C356" s="45"/>
      <c r="D356" s="45"/>
      <c r="E356" s="45"/>
      <c r="F356" s="45"/>
      <c r="G356" s="62">
        <f>G357+G468</f>
        <v>601808690</v>
      </c>
      <c r="H356" s="113"/>
      <c r="I356" s="62">
        <f>I357+I468</f>
        <v>602149274.3399999</v>
      </c>
      <c r="J356" s="113"/>
      <c r="K356" s="73">
        <f>K357+K468</f>
        <v>603848305.14</v>
      </c>
      <c r="L356" s="113"/>
      <c r="M356" s="73">
        <f>M357+M468</f>
        <v>605793852.8399999</v>
      </c>
      <c r="N356" s="113"/>
      <c r="O356" s="73">
        <f>O357+O468</f>
        <v>600575644.79</v>
      </c>
      <c r="P356" s="117"/>
      <c r="Q356" s="73">
        <f>Q357+Q468</f>
        <v>601083586.29</v>
      </c>
      <c r="R356" s="117"/>
      <c r="S356" s="73">
        <f>S357+S468</f>
        <v>601479765.3599999</v>
      </c>
      <c r="T356" s="73">
        <f>T357+T468</f>
        <v>592266401.8499999</v>
      </c>
      <c r="U356" s="72">
        <f t="shared" si="15"/>
        <v>98.5</v>
      </c>
    </row>
    <row r="357" spans="1:21" ht="18.75" customHeight="1">
      <c r="A357" s="9" t="s">
        <v>152</v>
      </c>
      <c r="B357" s="45" t="s">
        <v>136</v>
      </c>
      <c r="C357" s="45" t="s">
        <v>108</v>
      </c>
      <c r="D357" s="45"/>
      <c r="E357" s="45"/>
      <c r="F357" s="45"/>
      <c r="G357" s="56">
        <f>G358+G391+G438+G454</f>
        <v>601686560</v>
      </c>
      <c r="H357" s="115"/>
      <c r="I357" s="56">
        <f>I358+I391+I438+I454</f>
        <v>602027144.3399999</v>
      </c>
      <c r="J357" s="115"/>
      <c r="K357" s="76">
        <f>K358+K391+K438+K454</f>
        <v>603726175.14</v>
      </c>
      <c r="L357" s="115"/>
      <c r="M357" s="76">
        <f>M358+M391+M438+M454</f>
        <v>605658868.8399999</v>
      </c>
      <c r="N357" s="116"/>
      <c r="O357" s="76">
        <f>O358+O391+O438+O454</f>
        <v>600440660.79</v>
      </c>
      <c r="P357" s="113"/>
      <c r="Q357" s="76">
        <f>Q358+Q391+Q438+Q454</f>
        <v>600948602.29</v>
      </c>
      <c r="R357" s="113"/>
      <c r="S357" s="76">
        <f>S358+S391+S438+S454</f>
        <v>601346448.8399999</v>
      </c>
      <c r="T357" s="76">
        <f>T358+T391+T438+T454</f>
        <v>592133085.3299999</v>
      </c>
      <c r="U357" s="56">
        <f t="shared" si="15"/>
        <v>98.5</v>
      </c>
    </row>
    <row r="358" spans="1:21" ht="17.25" customHeight="1">
      <c r="A358" s="9" t="s">
        <v>137</v>
      </c>
      <c r="B358" s="45" t="s">
        <v>136</v>
      </c>
      <c r="C358" s="45" t="s">
        <v>138</v>
      </c>
      <c r="D358" s="45"/>
      <c r="E358" s="45"/>
      <c r="F358" s="45"/>
      <c r="G358" s="56">
        <f>G359</f>
        <v>176342996.55</v>
      </c>
      <c r="H358" s="115"/>
      <c r="I358" s="56">
        <f>I359</f>
        <v>176642330.89</v>
      </c>
      <c r="J358" s="116"/>
      <c r="K358" s="76">
        <f>K359</f>
        <v>173473030.26999998</v>
      </c>
      <c r="L358" s="115"/>
      <c r="M358" s="76">
        <f>M359</f>
        <v>171959051.26999998</v>
      </c>
      <c r="N358" s="116"/>
      <c r="O358" s="76">
        <f>O359</f>
        <v>185012139.77</v>
      </c>
      <c r="P358" s="113"/>
      <c r="Q358" s="76">
        <f>Q359</f>
        <v>184200561.78</v>
      </c>
      <c r="R358" s="113"/>
      <c r="S358" s="76">
        <f>S359</f>
        <v>184459869.03</v>
      </c>
      <c r="T358" s="76">
        <f>T359</f>
        <v>181156661.71</v>
      </c>
      <c r="U358" s="56">
        <f t="shared" si="15"/>
        <v>98.2</v>
      </c>
    </row>
    <row r="359" spans="1:21" ht="78.75" customHeight="1">
      <c r="A359" s="43" t="s">
        <v>684</v>
      </c>
      <c r="B359" s="45" t="s">
        <v>136</v>
      </c>
      <c r="C359" s="45" t="s">
        <v>138</v>
      </c>
      <c r="D359" s="45" t="s">
        <v>192</v>
      </c>
      <c r="E359" s="45" t="s">
        <v>408</v>
      </c>
      <c r="F359" s="45"/>
      <c r="G359" s="56">
        <f>G360+G381</f>
        <v>176342996.55</v>
      </c>
      <c r="H359" s="116"/>
      <c r="I359" s="56">
        <f>I360+I381</f>
        <v>176642330.89</v>
      </c>
      <c r="J359" s="115"/>
      <c r="K359" s="76">
        <f>K360+K381</f>
        <v>173473030.26999998</v>
      </c>
      <c r="L359" s="115"/>
      <c r="M359" s="76">
        <f>M360+M381</f>
        <v>171959051.26999998</v>
      </c>
      <c r="N359" s="116"/>
      <c r="O359" s="76">
        <f>O360+O381</f>
        <v>185012139.77</v>
      </c>
      <c r="P359" s="113"/>
      <c r="Q359" s="76">
        <f>Q360+Q381</f>
        <v>184200561.78</v>
      </c>
      <c r="R359" s="113"/>
      <c r="S359" s="76">
        <f>S360+S381+S388</f>
        <v>184459869.03</v>
      </c>
      <c r="T359" s="76">
        <f>T360+T381+T388</f>
        <v>181156661.71</v>
      </c>
      <c r="U359" s="56">
        <f t="shared" si="15"/>
        <v>98.2</v>
      </c>
    </row>
    <row r="360" spans="1:21" ht="49.5" customHeight="1">
      <c r="A360" s="9" t="s">
        <v>504</v>
      </c>
      <c r="B360" s="45" t="s">
        <v>136</v>
      </c>
      <c r="C360" s="45" t="s">
        <v>138</v>
      </c>
      <c r="D360" s="45" t="s">
        <v>505</v>
      </c>
      <c r="E360" s="45" t="s">
        <v>409</v>
      </c>
      <c r="F360" s="45"/>
      <c r="G360" s="56">
        <f>G361+G366+G369+G371+G375+G378</f>
        <v>145694295.55</v>
      </c>
      <c r="H360" s="112"/>
      <c r="I360" s="56">
        <f>I361+I366+I369+I371+I375+I378+I373</f>
        <v>145993629.89</v>
      </c>
      <c r="J360" s="112"/>
      <c r="K360" s="76">
        <f>K361+K366+K369+K371+K375+K378+K373</f>
        <v>145957260.26999998</v>
      </c>
      <c r="L360" s="112"/>
      <c r="M360" s="76">
        <f>M361+M366+M369+M371+M375+M378+M373</f>
        <v>144443281.26999998</v>
      </c>
      <c r="N360" s="113"/>
      <c r="O360" s="76">
        <f>O361+O366+O369+O371+O375+O378+O373</f>
        <v>157496369.77</v>
      </c>
      <c r="P360" s="113"/>
      <c r="Q360" s="76">
        <f>Q361+Q366+Q369+Q371+Q375+Q378+Q373</f>
        <v>156684791.78</v>
      </c>
      <c r="R360" s="113"/>
      <c r="S360" s="76">
        <f>S361+S366+S369+S371+S375+S378+S373</f>
        <v>158144709.03</v>
      </c>
      <c r="T360" s="76">
        <f>T361+T366+T369+T371+T375+T378+T373</f>
        <v>154841501.71</v>
      </c>
      <c r="U360" s="56">
        <f t="shared" si="15"/>
        <v>97.9</v>
      </c>
    </row>
    <row r="361" spans="1:21" ht="81" customHeight="1">
      <c r="A361" s="9" t="s">
        <v>506</v>
      </c>
      <c r="B361" s="45" t="s">
        <v>136</v>
      </c>
      <c r="C361" s="45" t="s">
        <v>138</v>
      </c>
      <c r="D361" s="45" t="s">
        <v>507</v>
      </c>
      <c r="E361" s="45" t="s">
        <v>410</v>
      </c>
      <c r="F361" s="45"/>
      <c r="G361" s="56">
        <f>G362+G363+G364</f>
        <v>36612924.8</v>
      </c>
      <c r="H361" s="112"/>
      <c r="I361" s="56">
        <f>I362+I363+I364</f>
        <v>36540653.010000005</v>
      </c>
      <c r="J361" s="112"/>
      <c r="K361" s="76">
        <f>K362+K363+K364</f>
        <v>36507256.05</v>
      </c>
      <c r="L361" s="112"/>
      <c r="M361" s="76">
        <f>M362+M363+M364</f>
        <v>37963277.05</v>
      </c>
      <c r="N361" s="113"/>
      <c r="O361" s="76">
        <f>O362+O363+O364</f>
        <v>37748565.550000004</v>
      </c>
      <c r="P361" s="113"/>
      <c r="Q361" s="76">
        <f>Q362+Q363+Q364+Q365</f>
        <v>38859262.56</v>
      </c>
      <c r="R361" s="113"/>
      <c r="S361" s="76">
        <f>S362+S363+S364+S365</f>
        <v>40361242.239999995</v>
      </c>
      <c r="T361" s="76">
        <f>T362+T363+T364+T365</f>
        <v>39056143.33</v>
      </c>
      <c r="U361" s="56">
        <f t="shared" si="15"/>
        <v>96.8</v>
      </c>
    </row>
    <row r="362" spans="1:21" ht="30" customHeight="1">
      <c r="A362" s="99" t="s">
        <v>58</v>
      </c>
      <c r="B362" s="49" t="s">
        <v>136</v>
      </c>
      <c r="C362" s="49" t="s">
        <v>138</v>
      </c>
      <c r="D362" s="49"/>
      <c r="E362" s="49" t="s">
        <v>410</v>
      </c>
      <c r="F362" s="49" t="s">
        <v>57</v>
      </c>
      <c r="G362" s="76">
        <v>17321508</v>
      </c>
      <c r="H362" s="113">
        <v>-72271.79</v>
      </c>
      <c r="I362" s="76">
        <f>G362+H362</f>
        <v>17249236.21</v>
      </c>
      <c r="J362" s="112">
        <v>-104234</v>
      </c>
      <c r="K362" s="76">
        <f>I362+J362</f>
        <v>17145002.21</v>
      </c>
      <c r="L362" s="112"/>
      <c r="M362" s="76">
        <f>K362+L362</f>
        <v>17145002.21</v>
      </c>
      <c r="N362" s="113">
        <v>-1380</v>
      </c>
      <c r="O362" s="76">
        <f>M362+N362</f>
        <v>17143622.21</v>
      </c>
      <c r="P362" s="113">
        <v>1123970</v>
      </c>
      <c r="Q362" s="76">
        <f>O362+P362</f>
        <v>18267592.21</v>
      </c>
      <c r="R362" s="113">
        <v>773107</v>
      </c>
      <c r="S362" s="76">
        <f>Q362+R362</f>
        <v>19040699.21</v>
      </c>
      <c r="T362" s="76">
        <v>18996373.45</v>
      </c>
      <c r="U362" s="56">
        <f t="shared" si="15"/>
        <v>99.8</v>
      </c>
    </row>
    <row r="363" spans="1:21" s="7" customFormat="1" ht="33" customHeight="1">
      <c r="A363" s="99" t="s">
        <v>68</v>
      </c>
      <c r="B363" s="49" t="s">
        <v>136</v>
      </c>
      <c r="C363" s="49" t="s">
        <v>138</v>
      </c>
      <c r="D363" s="49"/>
      <c r="E363" s="49" t="s">
        <v>410</v>
      </c>
      <c r="F363" s="49" t="s">
        <v>59</v>
      </c>
      <c r="G363" s="76">
        <v>19120416.8</v>
      </c>
      <c r="H363" s="113">
        <v>-290717</v>
      </c>
      <c r="I363" s="76">
        <f>G363+H363</f>
        <v>18829699.8</v>
      </c>
      <c r="J363" s="112">
        <v>-10079.96</v>
      </c>
      <c r="K363" s="76">
        <f>I363+J363</f>
        <v>18819619.84</v>
      </c>
      <c r="L363" s="134">
        <v>421771</v>
      </c>
      <c r="M363" s="76">
        <f>K363+L363</f>
        <v>19241390.84</v>
      </c>
      <c r="N363" s="137">
        <v>-219712.57</v>
      </c>
      <c r="O363" s="76">
        <f>M363+N363</f>
        <v>19021678.27</v>
      </c>
      <c r="P363" s="136">
        <v>-24272.99</v>
      </c>
      <c r="Q363" s="76">
        <f>O363+P363</f>
        <v>18997405.28</v>
      </c>
      <c r="R363" s="142">
        <v>741739.81</v>
      </c>
      <c r="S363" s="76">
        <f>Q363+R363</f>
        <v>19739145.09</v>
      </c>
      <c r="T363" s="76">
        <v>18481371.94</v>
      </c>
      <c r="U363" s="56">
        <f t="shared" si="15"/>
        <v>93.6</v>
      </c>
    </row>
    <row r="364" spans="1:21" ht="15.75" customHeight="1">
      <c r="A364" s="103" t="s">
        <v>62</v>
      </c>
      <c r="B364" s="49" t="s">
        <v>136</v>
      </c>
      <c r="C364" s="49" t="s">
        <v>138</v>
      </c>
      <c r="D364" s="49"/>
      <c r="E364" s="49" t="s">
        <v>410</v>
      </c>
      <c r="F364" s="49" t="s">
        <v>61</v>
      </c>
      <c r="G364" s="76">
        <v>171000</v>
      </c>
      <c r="H364" s="113">
        <v>290717</v>
      </c>
      <c r="I364" s="76">
        <f>G364+H364</f>
        <v>461717</v>
      </c>
      <c r="J364" s="112">
        <v>80917</v>
      </c>
      <c r="K364" s="76">
        <f>I364+J364</f>
        <v>542634</v>
      </c>
      <c r="L364" s="134">
        <v>1034250</v>
      </c>
      <c r="M364" s="76">
        <f>K364+L364</f>
        <v>1576884</v>
      </c>
      <c r="N364" s="113">
        <v>6381.07</v>
      </c>
      <c r="O364" s="76">
        <f>M364+N364</f>
        <v>1583265.07</v>
      </c>
      <c r="P364" s="113"/>
      <c r="Q364" s="76">
        <f>O364+P364</f>
        <v>1583265.07</v>
      </c>
      <c r="R364" s="136">
        <v>-4867.13</v>
      </c>
      <c r="S364" s="76">
        <f>Q364+R364</f>
        <v>1578397.9400000002</v>
      </c>
      <c r="T364" s="76">
        <v>1578397.94</v>
      </c>
      <c r="U364" s="56">
        <f t="shared" si="15"/>
        <v>100</v>
      </c>
    </row>
    <row r="365" spans="1:21" ht="15.75" customHeight="1">
      <c r="A365" s="103" t="s">
        <v>213</v>
      </c>
      <c r="B365" s="49" t="s">
        <v>136</v>
      </c>
      <c r="C365" s="49" t="s">
        <v>138</v>
      </c>
      <c r="D365" s="49"/>
      <c r="E365" s="49" t="s">
        <v>410</v>
      </c>
      <c r="F365" s="49" t="s">
        <v>211</v>
      </c>
      <c r="G365" s="76"/>
      <c r="H365" s="131"/>
      <c r="I365" s="76"/>
      <c r="J365" s="114"/>
      <c r="K365" s="76"/>
      <c r="L365" s="141"/>
      <c r="M365" s="76"/>
      <c r="N365" s="131"/>
      <c r="O365" s="76"/>
      <c r="P365" s="131">
        <v>11000</v>
      </c>
      <c r="Q365" s="76">
        <f>O365+P365</f>
        <v>11000</v>
      </c>
      <c r="R365" s="131">
        <v>-8000</v>
      </c>
      <c r="S365" s="76">
        <f>Q365+R365</f>
        <v>3000</v>
      </c>
      <c r="T365" s="76">
        <v>0</v>
      </c>
      <c r="U365" s="56">
        <f t="shared" si="15"/>
        <v>0</v>
      </c>
    </row>
    <row r="366" spans="1:21" ht="79.5" customHeight="1">
      <c r="A366" s="9" t="s">
        <v>508</v>
      </c>
      <c r="B366" s="45" t="s">
        <v>136</v>
      </c>
      <c r="C366" s="45" t="s">
        <v>138</v>
      </c>
      <c r="D366" s="45" t="s">
        <v>509</v>
      </c>
      <c r="E366" s="45" t="s">
        <v>411</v>
      </c>
      <c r="F366" s="45"/>
      <c r="G366" s="56">
        <f>G367+G368</f>
        <v>31189270.75</v>
      </c>
      <c r="H366" s="113"/>
      <c r="I366" s="56">
        <f>I367+I368</f>
        <v>31189270.75</v>
      </c>
      <c r="J366" s="112"/>
      <c r="K366" s="76">
        <f>K367+K368</f>
        <v>31303522.75</v>
      </c>
      <c r="L366" s="112"/>
      <c r="M366" s="76">
        <f>M367+M368</f>
        <v>30933522.75</v>
      </c>
      <c r="N366" s="113"/>
      <c r="O366" s="76">
        <f>O367+O368</f>
        <v>30933522.75</v>
      </c>
      <c r="P366" s="113"/>
      <c r="Q366" s="76">
        <f>Q367+Q368</f>
        <v>31310128.88</v>
      </c>
      <c r="R366" s="113"/>
      <c r="S366" s="76">
        <f>S367+S368</f>
        <v>31078066.45</v>
      </c>
      <c r="T366" s="76">
        <f>T367+T368</f>
        <v>31078066.45</v>
      </c>
      <c r="U366" s="56">
        <f t="shared" si="15"/>
        <v>100</v>
      </c>
    </row>
    <row r="367" spans="1:21" ht="18.75" customHeight="1">
      <c r="A367" s="99" t="s">
        <v>64</v>
      </c>
      <c r="B367" s="49" t="s">
        <v>136</v>
      </c>
      <c r="C367" s="49" t="s">
        <v>138</v>
      </c>
      <c r="D367" s="49"/>
      <c r="E367" s="49" t="s">
        <v>411</v>
      </c>
      <c r="F367" s="49" t="s">
        <v>63</v>
      </c>
      <c r="G367" s="76">
        <v>30649778.75</v>
      </c>
      <c r="H367" s="112"/>
      <c r="I367" s="76">
        <f>G367+H367</f>
        <v>30649778.75</v>
      </c>
      <c r="J367" s="112">
        <v>114252</v>
      </c>
      <c r="K367" s="76">
        <f>I367+J367</f>
        <v>30764030.75</v>
      </c>
      <c r="L367" s="112">
        <v>-370000</v>
      </c>
      <c r="M367" s="76">
        <f>K367+L367</f>
        <v>30394030.75</v>
      </c>
      <c r="N367" s="113"/>
      <c r="O367" s="76">
        <f>M367+N367</f>
        <v>30394030.75</v>
      </c>
      <c r="P367" s="113">
        <v>376606.13</v>
      </c>
      <c r="Q367" s="76">
        <f>O367+P367</f>
        <v>30770636.88</v>
      </c>
      <c r="R367" s="142">
        <v>-232062.43</v>
      </c>
      <c r="S367" s="76">
        <f>Q367+R367</f>
        <v>30538574.45</v>
      </c>
      <c r="T367" s="76">
        <v>30538574.45</v>
      </c>
      <c r="U367" s="56">
        <f t="shared" si="15"/>
        <v>100</v>
      </c>
    </row>
    <row r="368" spans="1:21" ht="21" customHeight="1">
      <c r="A368" s="97" t="s">
        <v>66</v>
      </c>
      <c r="B368" s="49" t="s">
        <v>136</v>
      </c>
      <c r="C368" s="49" t="s">
        <v>138</v>
      </c>
      <c r="D368" s="49"/>
      <c r="E368" s="49" t="s">
        <v>411</v>
      </c>
      <c r="F368" s="49" t="s">
        <v>65</v>
      </c>
      <c r="G368" s="76">
        <v>539492</v>
      </c>
      <c r="H368" s="113"/>
      <c r="I368" s="76">
        <f>G368+H368</f>
        <v>539492</v>
      </c>
      <c r="J368" s="112"/>
      <c r="K368" s="76">
        <f>I368+J368</f>
        <v>539492</v>
      </c>
      <c r="L368" s="112"/>
      <c r="M368" s="76">
        <f>K368+L368</f>
        <v>539492</v>
      </c>
      <c r="N368" s="113"/>
      <c r="O368" s="76">
        <f>M368+N368</f>
        <v>539492</v>
      </c>
      <c r="P368" s="113"/>
      <c r="Q368" s="76">
        <f>O368+P368</f>
        <v>539492</v>
      </c>
      <c r="R368" s="113"/>
      <c r="S368" s="76">
        <f>Q368+R368</f>
        <v>539492</v>
      </c>
      <c r="T368" s="76">
        <f>R368+S368</f>
        <v>539492</v>
      </c>
      <c r="U368" s="56">
        <f t="shared" si="15"/>
        <v>100</v>
      </c>
    </row>
    <row r="369" spans="1:21" ht="62.25" customHeight="1">
      <c r="A369" s="9" t="s">
        <v>510</v>
      </c>
      <c r="B369" s="45" t="s">
        <v>136</v>
      </c>
      <c r="C369" s="45" t="s">
        <v>138</v>
      </c>
      <c r="D369" s="45" t="s">
        <v>511</v>
      </c>
      <c r="E369" s="45" t="s">
        <v>412</v>
      </c>
      <c r="F369" s="45"/>
      <c r="G369" s="56">
        <f>G370</f>
        <v>14350000</v>
      </c>
      <c r="H369" s="77"/>
      <c r="I369" s="56">
        <f>I370</f>
        <v>14350000</v>
      </c>
      <c r="J369" s="77"/>
      <c r="K369" s="76">
        <f>K370</f>
        <v>14232775.34</v>
      </c>
      <c r="L369" s="77"/>
      <c r="M369" s="76">
        <f>M370</f>
        <v>11632775.34</v>
      </c>
      <c r="N369" s="117"/>
      <c r="O369" s="76">
        <f>O370</f>
        <v>11632775.34</v>
      </c>
      <c r="P369" s="113"/>
      <c r="Q369" s="76">
        <f>Q370</f>
        <v>9840000.34</v>
      </c>
      <c r="R369" s="113"/>
      <c r="S369" s="76">
        <f>S370</f>
        <v>9840000.34</v>
      </c>
      <c r="T369" s="76">
        <f>T370</f>
        <v>7915387.37</v>
      </c>
      <c r="U369" s="56">
        <f t="shared" si="15"/>
        <v>80.4</v>
      </c>
    </row>
    <row r="370" spans="1:21" ht="34.5" customHeight="1">
      <c r="A370" s="97" t="s">
        <v>68</v>
      </c>
      <c r="B370" s="49" t="s">
        <v>136</v>
      </c>
      <c r="C370" s="49" t="s">
        <v>138</v>
      </c>
      <c r="D370" s="49"/>
      <c r="E370" s="49" t="s">
        <v>412</v>
      </c>
      <c r="F370" s="49" t="s">
        <v>59</v>
      </c>
      <c r="G370" s="76">
        <v>14350000</v>
      </c>
      <c r="H370" s="117"/>
      <c r="I370" s="76">
        <f>G370+H370</f>
        <v>14350000</v>
      </c>
      <c r="J370" s="77">
        <v>-117224.66</v>
      </c>
      <c r="K370" s="76">
        <f>I370+J370</f>
        <v>14232775.34</v>
      </c>
      <c r="L370" s="77">
        <v>-2600000</v>
      </c>
      <c r="M370" s="76">
        <f>K370+L370</f>
        <v>11632775.34</v>
      </c>
      <c r="N370" s="117"/>
      <c r="O370" s="76">
        <f>M370+N370</f>
        <v>11632775.34</v>
      </c>
      <c r="P370" s="113">
        <v>-1792775</v>
      </c>
      <c r="Q370" s="76">
        <f>O370+P370</f>
        <v>9840000.34</v>
      </c>
      <c r="R370" s="113"/>
      <c r="S370" s="76">
        <f>Q370+R370</f>
        <v>9840000.34</v>
      </c>
      <c r="T370" s="76">
        <v>7915387.37</v>
      </c>
      <c r="U370" s="56">
        <f t="shared" si="15"/>
        <v>80.4</v>
      </c>
    </row>
    <row r="371" spans="1:21" ht="51" customHeight="1">
      <c r="A371" s="37" t="s">
        <v>512</v>
      </c>
      <c r="B371" s="49" t="s">
        <v>136</v>
      </c>
      <c r="C371" s="49" t="s">
        <v>138</v>
      </c>
      <c r="D371" s="49" t="s">
        <v>513</v>
      </c>
      <c r="E371" s="49" t="s">
        <v>413</v>
      </c>
      <c r="F371" s="49"/>
      <c r="G371" s="56">
        <f>G372</f>
        <v>387100</v>
      </c>
      <c r="H371" s="77"/>
      <c r="I371" s="56">
        <f>I372</f>
        <v>387100</v>
      </c>
      <c r="J371" s="77"/>
      <c r="K371" s="76">
        <f>K372</f>
        <v>387100</v>
      </c>
      <c r="L371" s="77"/>
      <c r="M371" s="76">
        <f>M372</f>
        <v>387100</v>
      </c>
      <c r="N371" s="117"/>
      <c r="O371" s="76">
        <f>O372</f>
        <v>387100</v>
      </c>
      <c r="P371" s="113"/>
      <c r="Q371" s="76">
        <f>Q372</f>
        <v>252600</v>
      </c>
      <c r="R371" s="113"/>
      <c r="S371" s="76">
        <f>S372</f>
        <v>252600</v>
      </c>
      <c r="T371" s="76">
        <f>T372</f>
        <v>179104.56</v>
      </c>
      <c r="U371" s="56">
        <f t="shared" si="15"/>
        <v>70.9</v>
      </c>
    </row>
    <row r="372" spans="1:21" ht="33.75" customHeight="1">
      <c r="A372" s="97" t="s">
        <v>68</v>
      </c>
      <c r="B372" s="49" t="s">
        <v>136</v>
      </c>
      <c r="C372" s="49" t="s">
        <v>138</v>
      </c>
      <c r="D372" s="49"/>
      <c r="E372" s="49" t="s">
        <v>413</v>
      </c>
      <c r="F372" s="49" t="s">
        <v>59</v>
      </c>
      <c r="G372" s="76">
        <v>387100</v>
      </c>
      <c r="H372" s="117"/>
      <c r="I372" s="76">
        <f>G372+H372</f>
        <v>387100</v>
      </c>
      <c r="J372" s="77"/>
      <c r="K372" s="76">
        <f>I372+J372</f>
        <v>387100</v>
      </c>
      <c r="L372" s="77"/>
      <c r="M372" s="76">
        <f>K372+L372</f>
        <v>387100</v>
      </c>
      <c r="N372" s="117"/>
      <c r="O372" s="76">
        <f>M372+N372</f>
        <v>387100</v>
      </c>
      <c r="P372" s="113">
        <v>-134500</v>
      </c>
      <c r="Q372" s="76">
        <f>O372+P372</f>
        <v>252600</v>
      </c>
      <c r="R372" s="113"/>
      <c r="S372" s="76">
        <f>Q372+R372</f>
        <v>252600</v>
      </c>
      <c r="T372" s="76">
        <v>179104.56</v>
      </c>
      <c r="U372" s="56">
        <f t="shared" si="15"/>
        <v>70.9</v>
      </c>
    </row>
    <row r="373" spans="1:21" ht="45" customHeight="1" hidden="1">
      <c r="A373" s="103" t="s">
        <v>1</v>
      </c>
      <c r="B373" s="49" t="s">
        <v>136</v>
      </c>
      <c r="C373" s="49" t="s">
        <v>138</v>
      </c>
      <c r="D373" s="49"/>
      <c r="E373" s="49" t="s">
        <v>3</v>
      </c>
      <c r="F373" s="49"/>
      <c r="G373" s="76"/>
      <c r="H373" s="117"/>
      <c r="I373" s="76">
        <f>I374</f>
        <v>371606.13</v>
      </c>
      <c r="J373" s="77"/>
      <c r="K373" s="76">
        <f>K374</f>
        <v>371606.13</v>
      </c>
      <c r="L373" s="77"/>
      <c r="M373" s="76">
        <f>M374</f>
        <v>371606.13</v>
      </c>
      <c r="N373" s="117"/>
      <c r="O373" s="76">
        <f>O374</f>
        <v>371606.13</v>
      </c>
      <c r="P373" s="113"/>
      <c r="Q373" s="76">
        <f>Q374</f>
        <v>0</v>
      </c>
      <c r="R373" s="113"/>
      <c r="S373" s="76">
        <f>S374</f>
        <v>0</v>
      </c>
      <c r="T373" s="76">
        <f>T374</f>
        <v>0</v>
      </c>
      <c r="U373" s="56" t="str">
        <f t="shared" si="15"/>
        <v>-</v>
      </c>
    </row>
    <row r="374" spans="1:21" ht="50.25" customHeight="1" hidden="1">
      <c r="A374" s="103" t="s">
        <v>2</v>
      </c>
      <c r="B374" s="49" t="s">
        <v>136</v>
      </c>
      <c r="C374" s="49" t="s">
        <v>138</v>
      </c>
      <c r="D374" s="49"/>
      <c r="E374" s="49" t="s">
        <v>3</v>
      </c>
      <c r="F374" s="49" t="s">
        <v>746</v>
      </c>
      <c r="G374" s="76"/>
      <c r="H374" s="117">
        <v>371606.13</v>
      </c>
      <c r="I374" s="76">
        <f>G374+H374</f>
        <v>371606.13</v>
      </c>
      <c r="J374" s="77"/>
      <c r="K374" s="76">
        <f>I374+J374</f>
        <v>371606.13</v>
      </c>
      <c r="L374" s="77"/>
      <c r="M374" s="76">
        <f>K374+L374</f>
        <v>371606.13</v>
      </c>
      <c r="N374" s="117"/>
      <c r="O374" s="76">
        <f>M374+N374</f>
        <v>371606.13</v>
      </c>
      <c r="P374" s="113">
        <v>-371606.13</v>
      </c>
      <c r="Q374" s="76">
        <f>O374+P374</f>
        <v>0</v>
      </c>
      <c r="R374" s="113"/>
      <c r="S374" s="76">
        <f>Q374+R374</f>
        <v>0</v>
      </c>
      <c r="T374" s="76">
        <f>R374+S374</f>
        <v>0</v>
      </c>
      <c r="U374" s="56" t="str">
        <f t="shared" si="15"/>
        <v>-</v>
      </c>
    </row>
    <row r="375" spans="1:21" s="1" customFormat="1" ht="192.75" customHeight="1">
      <c r="A375" s="82" t="s">
        <v>734</v>
      </c>
      <c r="B375" s="45" t="s">
        <v>136</v>
      </c>
      <c r="C375" s="45" t="s">
        <v>138</v>
      </c>
      <c r="D375" s="45" t="s">
        <v>698</v>
      </c>
      <c r="E375" s="45" t="s">
        <v>414</v>
      </c>
      <c r="F375" s="45"/>
      <c r="G375" s="56">
        <f>G376+G377</f>
        <v>62130240</v>
      </c>
      <c r="H375" s="77"/>
      <c r="I375" s="56">
        <f>I376+I377</f>
        <v>62130240</v>
      </c>
      <c r="J375" s="77"/>
      <c r="K375" s="76">
        <f>K376+K377</f>
        <v>62077000</v>
      </c>
      <c r="L375" s="77"/>
      <c r="M375" s="76">
        <f>M376+M377</f>
        <v>62077000</v>
      </c>
      <c r="N375" s="117"/>
      <c r="O375" s="76">
        <f>O376+O377</f>
        <v>75344800</v>
      </c>
      <c r="P375" s="117"/>
      <c r="Q375" s="76">
        <f>Q376+Q377</f>
        <v>75344800</v>
      </c>
      <c r="R375" s="117"/>
      <c r="S375" s="76">
        <f>S376+S377</f>
        <v>75344800</v>
      </c>
      <c r="T375" s="76">
        <f>T376+T377</f>
        <v>75344800</v>
      </c>
      <c r="U375" s="56">
        <f t="shared" si="15"/>
        <v>100</v>
      </c>
    </row>
    <row r="376" spans="1:21" s="1" customFormat="1" ht="29.25" customHeight="1">
      <c r="A376" s="99" t="s">
        <v>58</v>
      </c>
      <c r="B376" s="49" t="s">
        <v>136</v>
      </c>
      <c r="C376" s="49" t="s">
        <v>138</v>
      </c>
      <c r="D376" s="49"/>
      <c r="E376" s="100" t="s">
        <v>414</v>
      </c>
      <c r="F376" s="49" t="s">
        <v>57</v>
      </c>
      <c r="G376" s="76">
        <v>25805572</v>
      </c>
      <c r="H376" s="117"/>
      <c r="I376" s="76">
        <f>G376+H376</f>
        <v>25805572</v>
      </c>
      <c r="J376" s="77">
        <v>-53240</v>
      </c>
      <c r="K376" s="76">
        <f>I376+J376</f>
        <v>25752332</v>
      </c>
      <c r="L376" s="77"/>
      <c r="M376" s="76">
        <f>K376+L376</f>
        <v>25752332</v>
      </c>
      <c r="N376" s="117">
        <v>5118796</v>
      </c>
      <c r="O376" s="76">
        <f>M376+N376</f>
        <v>30871128</v>
      </c>
      <c r="P376" s="117"/>
      <c r="Q376" s="76">
        <f>O376+P376</f>
        <v>30871128</v>
      </c>
      <c r="R376" s="117"/>
      <c r="S376" s="76">
        <f>Q376+R376</f>
        <v>30871128</v>
      </c>
      <c r="T376" s="76">
        <f>R376+S376</f>
        <v>30871128</v>
      </c>
      <c r="U376" s="56">
        <f t="shared" si="15"/>
        <v>100</v>
      </c>
    </row>
    <row r="377" spans="1:21" s="1" customFormat="1" ht="23.25" customHeight="1">
      <c r="A377" s="97" t="s">
        <v>64</v>
      </c>
      <c r="B377" s="49" t="s">
        <v>136</v>
      </c>
      <c r="C377" s="49" t="s">
        <v>138</v>
      </c>
      <c r="D377" s="49"/>
      <c r="E377" s="100" t="s">
        <v>414</v>
      </c>
      <c r="F377" s="49" t="s">
        <v>63</v>
      </c>
      <c r="G377" s="76">
        <v>36324668</v>
      </c>
      <c r="H377" s="77"/>
      <c r="I377" s="76">
        <f>G377+H377</f>
        <v>36324668</v>
      </c>
      <c r="J377" s="77"/>
      <c r="K377" s="76">
        <f>I377+J377</f>
        <v>36324668</v>
      </c>
      <c r="L377" s="77"/>
      <c r="M377" s="76">
        <f>K377+L377</f>
        <v>36324668</v>
      </c>
      <c r="N377" s="117">
        <v>8149004</v>
      </c>
      <c r="O377" s="76">
        <f>M377+N377</f>
        <v>44473672</v>
      </c>
      <c r="P377" s="117"/>
      <c r="Q377" s="76">
        <f>O377+P377</f>
        <v>44473672</v>
      </c>
      <c r="R377" s="117"/>
      <c r="S377" s="76">
        <f>Q377+R377</f>
        <v>44473672</v>
      </c>
      <c r="T377" s="76">
        <f>R377+S377</f>
        <v>44473672</v>
      </c>
      <c r="U377" s="56">
        <f t="shared" si="15"/>
        <v>100</v>
      </c>
    </row>
    <row r="378" spans="1:21" s="1" customFormat="1" ht="141" customHeight="1">
      <c r="A378" s="9" t="s">
        <v>700</v>
      </c>
      <c r="B378" s="45" t="s">
        <v>136</v>
      </c>
      <c r="C378" s="45" t="s">
        <v>138</v>
      </c>
      <c r="D378" s="45" t="s">
        <v>699</v>
      </c>
      <c r="E378" s="127" t="s">
        <v>415</v>
      </c>
      <c r="F378" s="45"/>
      <c r="G378" s="76">
        <f>G379+G380</f>
        <v>1024760</v>
      </c>
      <c r="H378" s="77"/>
      <c r="I378" s="76">
        <f>I379+I380</f>
        <v>1024760</v>
      </c>
      <c r="J378" s="77"/>
      <c r="K378" s="76">
        <f>K379+K380</f>
        <v>1078000</v>
      </c>
      <c r="L378" s="77"/>
      <c r="M378" s="76">
        <f>M379+M380</f>
        <v>1078000</v>
      </c>
      <c r="N378" s="117"/>
      <c r="O378" s="76">
        <f>O379+O380</f>
        <v>1078000</v>
      </c>
      <c r="P378" s="117"/>
      <c r="Q378" s="76">
        <f>Q379+Q380</f>
        <v>1078000</v>
      </c>
      <c r="R378" s="117"/>
      <c r="S378" s="76">
        <f>S379+S380</f>
        <v>1268000</v>
      </c>
      <c r="T378" s="76">
        <f>T379+T380</f>
        <v>1268000</v>
      </c>
      <c r="U378" s="56">
        <f t="shared" si="15"/>
        <v>100</v>
      </c>
    </row>
    <row r="379" spans="1:21" s="1" customFormat="1" ht="60" customHeight="1">
      <c r="A379" s="99" t="s">
        <v>60</v>
      </c>
      <c r="B379" s="49" t="s">
        <v>136</v>
      </c>
      <c r="C379" s="49" t="s">
        <v>138</v>
      </c>
      <c r="D379" s="49"/>
      <c r="E379" s="49" t="s">
        <v>415</v>
      </c>
      <c r="F379" s="49" t="s">
        <v>59</v>
      </c>
      <c r="G379" s="76">
        <v>330339</v>
      </c>
      <c r="H379" s="117"/>
      <c r="I379" s="76">
        <f>G379+H379</f>
        <v>330339</v>
      </c>
      <c r="J379" s="77">
        <v>167661</v>
      </c>
      <c r="K379" s="76">
        <f>I379+J379</f>
        <v>498000</v>
      </c>
      <c r="L379" s="77"/>
      <c r="M379" s="76">
        <f>K379+L379</f>
        <v>498000</v>
      </c>
      <c r="N379" s="117"/>
      <c r="O379" s="76">
        <f>M379+N379</f>
        <v>498000</v>
      </c>
      <c r="P379" s="117"/>
      <c r="Q379" s="76">
        <f>O379+P379</f>
        <v>498000</v>
      </c>
      <c r="R379" s="117">
        <v>82000</v>
      </c>
      <c r="S379" s="76">
        <f>Q379+R379</f>
        <v>580000</v>
      </c>
      <c r="T379" s="76">
        <v>580000</v>
      </c>
      <c r="U379" s="56">
        <f t="shared" si="15"/>
        <v>100</v>
      </c>
    </row>
    <row r="380" spans="1:21" s="1" customFormat="1" ht="15.75" customHeight="1">
      <c r="A380" s="101" t="s">
        <v>64</v>
      </c>
      <c r="B380" s="49" t="s">
        <v>136</v>
      </c>
      <c r="C380" s="49" t="s">
        <v>138</v>
      </c>
      <c r="D380" s="49"/>
      <c r="E380" s="49" t="s">
        <v>415</v>
      </c>
      <c r="F380" s="49" t="s">
        <v>63</v>
      </c>
      <c r="G380" s="76">
        <v>694421</v>
      </c>
      <c r="H380" s="77"/>
      <c r="I380" s="76">
        <f>G380+H380</f>
        <v>694421</v>
      </c>
      <c r="J380" s="77">
        <v>-114421</v>
      </c>
      <c r="K380" s="76">
        <f>I380+J380</f>
        <v>580000</v>
      </c>
      <c r="L380" s="77"/>
      <c r="M380" s="76">
        <f>K380+L380</f>
        <v>580000</v>
      </c>
      <c r="N380" s="117"/>
      <c r="O380" s="76">
        <f>M380+N380</f>
        <v>580000</v>
      </c>
      <c r="P380" s="117"/>
      <c r="Q380" s="76">
        <f>O380+P380</f>
        <v>580000</v>
      </c>
      <c r="R380" s="117">
        <v>108000</v>
      </c>
      <c r="S380" s="76">
        <f>Q380+R380</f>
        <v>688000</v>
      </c>
      <c r="T380" s="76">
        <v>688000</v>
      </c>
      <c r="U380" s="56">
        <f t="shared" si="15"/>
        <v>100</v>
      </c>
    </row>
    <row r="381" spans="1:21" s="1" customFormat="1" ht="62.25" customHeight="1">
      <c r="A381" s="9" t="s">
        <v>743</v>
      </c>
      <c r="B381" s="45" t="s">
        <v>136</v>
      </c>
      <c r="C381" s="45" t="s">
        <v>138</v>
      </c>
      <c r="D381" s="45" t="s">
        <v>517</v>
      </c>
      <c r="E381" s="45" t="s">
        <v>416</v>
      </c>
      <c r="F381" s="45"/>
      <c r="G381" s="56">
        <f>G382+G385</f>
        <v>30648701</v>
      </c>
      <c r="H381" s="77"/>
      <c r="I381" s="56">
        <f>I382+I385</f>
        <v>30648701</v>
      </c>
      <c r="J381" s="77"/>
      <c r="K381" s="76">
        <f>K382+K385</f>
        <v>27515770</v>
      </c>
      <c r="L381" s="77"/>
      <c r="M381" s="76">
        <f>M382+M385</f>
        <v>27515770</v>
      </c>
      <c r="N381" s="117"/>
      <c r="O381" s="76">
        <f>O382+O385</f>
        <v>27515770</v>
      </c>
      <c r="P381" s="117"/>
      <c r="Q381" s="76">
        <f>Q382+Q385</f>
        <v>27515770</v>
      </c>
      <c r="R381" s="117"/>
      <c r="S381" s="76">
        <f>S382+S385</f>
        <v>26069860</v>
      </c>
      <c r="T381" s="76">
        <f>T382+T385</f>
        <v>26069860</v>
      </c>
      <c r="U381" s="56">
        <f t="shared" si="15"/>
        <v>100</v>
      </c>
    </row>
    <row r="382" spans="1:21" s="1" customFormat="1" ht="210" customHeight="1">
      <c r="A382" s="9" t="s">
        <v>713</v>
      </c>
      <c r="B382" s="45" t="s">
        <v>136</v>
      </c>
      <c r="C382" s="45" t="s">
        <v>138</v>
      </c>
      <c r="D382" s="45" t="s">
        <v>701</v>
      </c>
      <c r="E382" s="45" t="s">
        <v>417</v>
      </c>
      <c r="F382" s="45"/>
      <c r="G382" s="56">
        <f>G383+G384</f>
        <v>30314150</v>
      </c>
      <c r="H382" s="77"/>
      <c r="I382" s="56">
        <f>I383+I384</f>
        <v>30314150</v>
      </c>
      <c r="J382" s="77"/>
      <c r="K382" s="76">
        <f>K383+K384</f>
        <v>27079270</v>
      </c>
      <c r="L382" s="77"/>
      <c r="M382" s="76">
        <f>M383+M384</f>
        <v>27079270</v>
      </c>
      <c r="N382" s="117"/>
      <c r="O382" s="76">
        <f>O383+O384</f>
        <v>27079270</v>
      </c>
      <c r="P382" s="117"/>
      <c r="Q382" s="76">
        <f>Q383+Q384</f>
        <v>27079270</v>
      </c>
      <c r="R382" s="117"/>
      <c r="S382" s="76">
        <f>S383+S384</f>
        <v>25633360</v>
      </c>
      <c r="T382" s="76">
        <f>T383+T384</f>
        <v>25633360</v>
      </c>
      <c r="U382" s="56">
        <f t="shared" si="15"/>
        <v>100</v>
      </c>
    </row>
    <row r="383" spans="1:21" s="1" customFormat="1" ht="36" customHeight="1">
      <c r="A383" s="99" t="s">
        <v>58</v>
      </c>
      <c r="B383" s="49" t="s">
        <v>136</v>
      </c>
      <c r="C383" s="49" t="s">
        <v>138</v>
      </c>
      <c r="D383" s="49"/>
      <c r="E383" s="49" t="s">
        <v>417</v>
      </c>
      <c r="F383" s="49" t="s">
        <v>57</v>
      </c>
      <c r="G383" s="76">
        <v>28822108</v>
      </c>
      <c r="H383" s="117"/>
      <c r="I383" s="76">
        <f>G383+H383</f>
        <v>28822108</v>
      </c>
      <c r="J383" s="77">
        <v>-3299908</v>
      </c>
      <c r="K383" s="76">
        <f>I383+J383</f>
        <v>25522200</v>
      </c>
      <c r="L383" s="77"/>
      <c r="M383" s="76">
        <f>K383+L383</f>
        <v>25522200</v>
      </c>
      <c r="N383" s="117"/>
      <c r="O383" s="76">
        <f>M383+N383</f>
        <v>25522200</v>
      </c>
      <c r="P383" s="117"/>
      <c r="Q383" s="76">
        <f>O383+P383</f>
        <v>25522200</v>
      </c>
      <c r="R383" s="117">
        <v>-1445910</v>
      </c>
      <c r="S383" s="76">
        <f>Q383+R383</f>
        <v>24076290</v>
      </c>
      <c r="T383" s="76">
        <v>24076290</v>
      </c>
      <c r="U383" s="56">
        <f t="shared" si="15"/>
        <v>100</v>
      </c>
    </row>
    <row r="384" spans="1:21" s="1" customFormat="1" ht="18" customHeight="1">
      <c r="A384" s="97" t="s">
        <v>66</v>
      </c>
      <c r="B384" s="49" t="s">
        <v>136</v>
      </c>
      <c r="C384" s="49" t="s">
        <v>138</v>
      </c>
      <c r="D384" s="49"/>
      <c r="E384" s="49" t="s">
        <v>417</v>
      </c>
      <c r="F384" s="49" t="s">
        <v>65</v>
      </c>
      <c r="G384" s="76">
        <v>1492042</v>
      </c>
      <c r="H384" s="117"/>
      <c r="I384" s="76">
        <f>G384+H384</f>
        <v>1492042</v>
      </c>
      <c r="J384" s="77">
        <v>65028</v>
      </c>
      <c r="K384" s="76">
        <f>I384+J384</f>
        <v>1557070</v>
      </c>
      <c r="L384" s="77"/>
      <c r="M384" s="76">
        <f>K384+L384</f>
        <v>1557070</v>
      </c>
      <c r="N384" s="117"/>
      <c r="O384" s="76">
        <f>M384+N384</f>
        <v>1557070</v>
      </c>
      <c r="P384" s="117"/>
      <c r="Q384" s="76">
        <f>O384+P384</f>
        <v>1557070</v>
      </c>
      <c r="R384" s="117"/>
      <c r="S384" s="76">
        <f>Q384+R384</f>
        <v>1557070</v>
      </c>
      <c r="T384" s="76">
        <f>R384+S384</f>
        <v>1557070</v>
      </c>
      <c r="U384" s="56">
        <f t="shared" si="15"/>
        <v>100</v>
      </c>
    </row>
    <row r="385" spans="1:21" s="1" customFormat="1" ht="222" customHeight="1">
      <c r="A385" s="9" t="s">
        <v>741</v>
      </c>
      <c r="B385" s="45" t="s">
        <v>136</v>
      </c>
      <c r="C385" s="45" t="s">
        <v>138</v>
      </c>
      <c r="D385" s="45" t="s">
        <v>742</v>
      </c>
      <c r="E385" s="45" t="s">
        <v>418</v>
      </c>
      <c r="F385" s="45"/>
      <c r="G385" s="56">
        <f>G386+G387</f>
        <v>334551</v>
      </c>
      <c r="H385" s="112"/>
      <c r="I385" s="56">
        <f>I386+I387</f>
        <v>334551</v>
      </c>
      <c r="J385" s="112"/>
      <c r="K385" s="76">
        <f>K386+K387</f>
        <v>436500</v>
      </c>
      <c r="L385" s="112"/>
      <c r="M385" s="76">
        <f>M386+M387</f>
        <v>436500</v>
      </c>
      <c r="N385" s="113"/>
      <c r="O385" s="76">
        <f>O386+O387</f>
        <v>436500</v>
      </c>
      <c r="P385" s="117"/>
      <c r="Q385" s="76">
        <f>Q386+Q387</f>
        <v>436500</v>
      </c>
      <c r="R385" s="117"/>
      <c r="S385" s="76">
        <f>S386+S387</f>
        <v>436500</v>
      </c>
      <c r="T385" s="76">
        <f>T386+T387</f>
        <v>436500</v>
      </c>
      <c r="U385" s="56">
        <f t="shared" si="15"/>
        <v>100</v>
      </c>
    </row>
    <row r="386" spans="1:21" s="1" customFormat="1" ht="32.25" customHeight="1">
      <c r="A386" s="99" t="s">
        <v>69</v>
      </c>
      <c r="B386" s="49" t="s">
        <v>136</v>
      </c>
      <c r="C386" s="49" t="s">
        <v>138</v>
      </c>
      <c r="D386" s="49"/>
      <c r="E386" s="49" t="s">
        <v>418</v>
      </c>
      <c r="F386" s="49" t="s">
        <v>59</v>
      </c>
      <c r="G386" s="76">
        <v>315861</v>
      </c>
      <c r="H386" s="112"/>
      <c r="I386" s="76">
        <f>G386+H386</f>
        <v>315861</v>
      </c>
      <c r="J386" s="112">
        <v>98939</v>
      </c>
      <c r="K386" s="76">
        <f>I386+J386</f>
        <v>414800</v>
      </c>
      <c r="L386" s="112"/>
      <c r="M386" s="76">
        <f>K386+L386</f>
        <v>414800</v>
      </c>
      <c r="N386" s="113"/>
      <c r="O386" s="76">
        <f>M386+N386</f>
        <v>414800</v>
      </c>
      <c r="P386" s="117"/>
      <c r="Q386" s="76">
        <f>O386+P386</f>
        <v>414800</v>
      </c>
      <c r="R386" s="117"/>
      <c r="S386" s="76">
        <f>Q386+R386</f>
        <v>414800</v>
      </c>
      <c r="T386" s="76">
        <f>R386+S386</f>
        <v>414800</v>
      </c>
      <c r="U386" s="56">
        <f t="shared" si="15"/>
        <v>100</v>
      </c>
    </row>
    <row r="387" spans="1:21" s="1" customFormat="1" ht="21.75" customHeight="1">
      <c r="A387" s="103" t="s">
        <v>66</v>
      </c>
      <c r="B387" s="49" t="s">
        <v>136</v>
      </c>
      <c r="C387" s="49" t="s">
        <v>138</v>
      </c>
      <c r="D387" s="49"/>
      <c r="E387" s="49" t="s">
        <v>418</v>
      </c>
      <c r="F387" s="49" t="s">
        <v>65</v>
      </c>
      <c r="G387" s="76">
        <v>18690</v>
      </c>
      <c r="H387" s="117"/>
      <c r="I387" s="76">
        <f>G387+H387</f>
        <v>18690</v>
      </c>
      <c r="J387" s="77">
        <v>3010</v>
      </c>
      <c r="K387" s="76">
        <f>I387+J387</f>
        <v>21700</v>
      </c>
      <c r="L387" s="77"/>
      <c r="M387" s="76">
        <f>K387+L387</f>
        <v>21700</v>
      </c>
      <c r="N387" s="117"/>
      <c r="O387" s="76">
        <f>M387+N387</f>
        <v>21700</v>
      </c>
      <c r="P387" s="117"/>
      <c r="Q387" s="76">
        <f>O387+P387</f>
        <v>21700</v>
      </c>
      <c r="R387" s="117"/>
      <c r="S387" s="76">
        <f>Q387+R387</f>
        <v>21700</v>
      </c>
      <c r="T387" s="76">
        <f>R387+S387</f>
        <v>21700</v>
      </c>
      <c r="U387" s="56">
        <f t="shared" si="15"/>
        <v>100</v>
      </c>
    </row>
    <row r="388" spans="1:21" s="1" customFormat="1" ht="84" customHeight="1">
      <c r="A388" s="9" t="s">
        <v>541</v>
      </c>
      <c r="B388" s="49" t="s">
        <v>136</v>
      </c>
      <c r="C388" s="49" t="s">
        <v>138</v>
      </c>
      <c r="D388" s="49"/>
      <c r="E388" s="49" t="s">
        <v>419</v>
      </c>
      <c r="F388" s="49"/>
      <c r="G388" s="76"/>
      <c r="H388" s="117"/>
      <c r="I388" s="76"/>
      <c r="J388" s="77"/>
      <c r="K388" s="76"/>
      <c r="L388" s="77"/>
      <c r="M388" s="76"/>
      <c r="N388" s="117"/>
      <c r="O388" s="76"/>
      <c r="P388" s="117"/>
      <c r="Q388" s="76"/>
      <c r="R388" s="117"/>
      <c r="S388" s="76">
        <f>S389</f>
        <v>245300</v>
      </c>
      <c r="T388" s="76">
        <f>T389</f>
        <v>245300</v>
      </c>
      <c r="U388" s="56">
        <f t="shared" si="15"/>
        <v>100</v>
      </c>
    </row>
    <row r="389" spans="1:21" s="1" customFormat="1" ht="63" customHeight="1">
      <c r="A389" s="34" t="s">
        <v>633</v>
      </c>
      <c r="B389" s="49" t="s">
        <v>136</v>
      </c>
      <c r="C389" s="49" t="s">
        <v>138</v>
      </c>
      <c r="D389" s="49"/>
      <c r="E389" s="49" t="s">
        <v>632</v>
      </c>
      <c r="F389" s="49"/>
      <c r="G389" s="76"/>
      <c r="H389" s="117"/>
      <c r="I389" s="76"/>
      <c r="J389" s="77"/>
      <c r="K389" s="76"/>
      <c r="L389" s="77"/>
      <c r="M389" s="76"/>
      <c r="N389" s="117"/>
      <c r="O389" s="76"/>
      <c r="P389" s="117"/>
      <c r="Q389" s="76"/>
      <c r="R389" s="117"/>
      <c r="S389" s="76">
        <f>S390</f>
        <v>245300</v>
      </c>
      <c r="T389" s="76">
        <f>T390</f>
        <v>245300</v>
      </c>
      <c r="U389" s="56">
        <f t="shared" si="15"/>
        <v>100</v>
      </c>
    </row>
    <row r="390" spans="1:21" s="1" customFormat="1" ht="23.25" customHeight="1">
      <c r="A390" s="99" t="s">
        <v>64</v>
      </c>
      <c r="B390" s="49" t="s">
        <v>136</v>
      </c>
      <c r="C390" s="49" t="s">
        <v>138</v>
      </c>
      <c r="D390" s="49"/>
      <c r="E390" s="49" t="s">
        <v>632</v>
      </c>
      <c r="F390" s="49" t="s">
        <v>63</v>
      </c>
      <c r="G390" s="76"/>
      <c r="H390" s="117"/>
      <c r="I390" s="76"/>
      <c r="J390" s="77"/>
      <c r="K390" s="76"/>
      <c r="L390" s="77"/>
      <c r="M390" s="76"/>
      <c r="N390" s="117"/>
      <c r="O390" s="76"/>
      <c r="P390" s="117"/>
      <c r="Q390" s="76"/>
      <c r="R390" s="117">
        <v>245300</v>
      </c>
      <c r="S390" s="76">
        <f>Q390+R390</f>
        <v>245300</v>
      </c>
      <c r="T390" s="76">
        <v>245300</v>
      </c>
      <c r="U390" s="56">
        <f t="shared" si="15"/>
        <v>100</v>
      </c>
    </row>
    <row r="391" spans="1:21" ht="18" customHeight="1">
      <c r="A391" s="9" t="s">
        <v>153</v>
      </c>
      <c r="B391" s="45" t="s">
        <v>136</v>
      </c>
      <c r="C391" s="45" t="s">
        <v>109</v>
      </c>
      <c r="D391" s="45"/>
      <c r="E391" s="45"/>
      <c r="F391" s="45"/>
      <c r="G391" s="56">
        <f>G392</f>
        <v>402161837.45</v>
      </c>
      <c r="H391" s="77"/>
      <c r="I391" s="56">
        <f>I392</f>
        <v>402194837.45</v>
      </c>
      <c r="J391" s="117"/>
      <c r="K391" s="76">
        <f>K392</f>
        <v>405061757.46999997</v>
      </c>
      <c r="L391" s="77"/>
      <c r="M391" s="76">
        <f>M392</f>
        <v>408814741.16999996</v>
      </c>
      <c r="N391" s="117"/>
      <c r="O391" s="76">
        <f>O392</f>
        <v>387544370.48999995</v>
      </c>
      <c r="P391" s="113"/>
      <c r="Q391" s="76">
        <f>Q392</f>
        <v>389105278.97999996</v>
      </c>
      <c r="R391" s="113"/>
      <c r="S391" s="76">
        <f>S392</f>
        <v>390064618.28</v>
      </c>
      <c r="T391" s="76">
        <f>T392</f>
        <v>387615766.79999995</v>
      </c>
      <c r="U391" s="56">
        <f t="shared" si="15"/>
        <v>99.4</v>
      </c>
    </row>
    <row r="392" spans="1:21" ht="46.5" customHeight="1">
      <c r="A392" s="9" t="s">
        <v>660</v>
      </c>
      <c r="B392" s="45" t="s">
        <v>136</v>
      </c>
      <c r="C392" s="45" t="s">
        <v>109</v>
      </c>
      <c r="D392" s="45" t="s">
        <v>192</v>
      </c>
      <c r="E392" s="45" t="s">
        <v>408</v>
      </c>
      <c r="F392" s="45"/>
      <c r="G392" s="56">
        <f>G393+G417+G423</f>
        <v>402161837.45</v>
      </c>
      <c r="H392" s="117"/>
      <c r="I392" s="56">
        <f>I393+I417+I423</f>
        <v>402194837.45</v>
      </c>
      <c r="J392" s="77"/>
      <c r="K392" s="76">
        <f>K393+K417+K423</f>
        <v>405061757.46999997</v>
      </c>
      <c r="L392" s="77"/>
      <c r="M392" s="76">
        <f>M393+M417+M423</f>
        <v>408814741.16999996</v>
      </c>
      <c r="N392" s="117"/>
      <c r="O392" s="76">
        <f>O393+O417+O423</f>
        <v>387544370.48999995</v>
      </c>
      <c r="P392" s="113"/>
      <c r="Q392" s="76">
        <f>Q393+Q417+Q423</f>
        <v>389105278.97999996</v>
      </c>
      <c r="R392" s="113"/>
      <c r="S392" s="76">
        <f>S393+S417+S423</f>
        <v>390064618.28</v>
      </c>
      <c r="T392" s="76">
        <f>T393+T417+T423</f>
        <v>387615766.79999995</v>
      </c>
      <c r="U392" s="56">
        <f t="shared" si="15"/>
        <v>99.4</v>
      </c>
    </row>
    <row r="393" spans="1:21" s="1" customFormat="1" ht="49.5" customHeight="1">
      <c r="A393" s="9" t="s">
        <v>516</v>
      </c>
      <c r="B393" s="45" t="s">
        <v>136</v>
      </c>
      <c r="C393" s="45" t="s">
        <v>109</v>
      </c>
      <c r="D393" s="45" t="s">
        <v>517</v>
      </c>
      <c r="E393" s="45" t="s">
        <v>416</v>
      </c>
      <c r="F393" s="45"/>
      <c r="G393" s="56">
        <f>G394+G397+G400+G405+G408+G413+G415</f>
        <v>382154885.76</v>
      </c>
      <c r="H393" s="77"/>
      <c r="I393" s="56">
        <f>I394+I397+I400+I405+I408+I413+I415+I403</f>
        <v>382187885.76</v>
      </c>
      <c r="J393" s="77"/>
      <c r="K393" s="76">
        <f>K394+K397+K400+K405+K408+K413+K415+K403</f>
        <v>384607268.38</v>
      </c>
      <c r="L393" s="77"/>
      <c r="M393" s="76">
        <f>M394+M397+M400+M405+M408+M413+M415+M403</f>
        <v>386263517.76</v>
      </c>
      <c r="N393" s="117"/>
      <c r="O393" s="76">
        <f>O394+O397+O400+O405+O408+O413+O415+O403</f>
        <v>365563147.08</v>
      </c>
      <c r="P393" s="117"/>
      <c r="Q393" s="76">
        <f>Q394+Q397+Q400+Q405+Q408+Q413+Q415+Q403</f>
        <v>368244183.53</v>
      </c>
      <c r="R393" s="117"/>
      <c r="S393" s="76">
        <f>S394+S397+S400+S405+S408+S413+S415+S403</f>
        <v>369061914.82</v>
      </c>
      <c r="T393" s="76">
        <f>T394+T397+T400+T405+T408+T413+T415+T403</f>
        <v>366947372.09999996</v>
      </c>
      <c r="U393" s="56">
        <f t="shared" si="15"/>
        <v>99.4</v>
      </c>
    </row>
    <row r="394" spans="1:21" s="1" customFormat="1" ht="207" customHeight="1">
      <c r="A394" s="9" t="s">
        <v>713</v>
      </c>
      <c r="B394" s="45" t="s">
        <v>136</v>
      </c>
      <c r="C394" s="45" t="s">
        <v>109</v>
      </c>
      <c r="D394" s="45" t="s">
        <v>701</v>
      </c>
      <c r="E394" s="45" t="s">
        <v>417</v>
      </c>
      <c r="F394" s="45"/>
      <c r="G394" s="56">
        <f>G395+G396</f>
        <v>258063262</v>
      </c>
      <c r="H394" s="77"/>
      <c r="I394" s="56">
        <f>I395+I396</f>
        <v>258063262</v>
      </c>
      <c r="J394" s="77"/>
      <c r="K394" s="76">
        <f>K395+K396</f>
        <v>260561730</v>
      </c>
      <c r="L394" s="77"/>
      <c r="M394" s="76">
        <f>M395+M396</f>
        <v>260561730</v>
      </c>
      <c r="N394" s="117"/>
      <c r="O394" s="76">
        <f>O395+O396</f>
        <v>240547330</v>
      </c>
      <c r="P394" s="117"/>
      <c r="Q394" s="76">
        <f>Q395+Q396</f>
        <v>240547330</v>
      </c>
      <c r="R394" s="117"/>
      <c r="S394" s="76">
        <f>S395+S396</f>
        <v>241993240</v>
      </c>
      <c r="T394" s="76">
        <f>T395+T396</f>
        <v>241993240</v>
      </c>
      <c r="U394" s="56">
        <f t="shared" si="15"/>
        <v>100</v>
      </c>
    </row>
    <row r="395" spans="1:21" s="1" customFormat="1" ht="35.25" customHeight="1">
      <c r="A395" s="99" t="s">
        <v>58</v>
      </c>
      <c r="B395" s="49" t="s">
        <v>136</v>
      </c>
      <c r="C395" s="49" t="s">
        <v>109</v>
      </c>
      <c r="D395" s="49"/>
      <c r="E395" s="49" t="s">
        <v>417</v>
      </c>
      <c r="F395" s="49" t="s">
        <v>57</v>
      </c>
      <c r="G395" s="76">
        <v>146980683</v>
      </c>
      <c r="H395" s="117"/>
      <c r="I395" s="76">
        <f>G395+H395</f>
        <v>146980683</v>
      </c>
      <c r="J395" s="77">
        <v>25341723</v>
      </c>
      <c r="K395" s="76">
        <f>I395+J395</f>
        <v>172322406</v>
      </c>
      <c r="L395" s="77"/>
      <c r="M395" s="76">
        <f>K395+L395</f>
        <v>172322406</v>
      </c>
      <c r="N395" s="117">
        <v>-25967449.85</v>
      </c>
      <c r="O395" s="76">
        <f>M395+N395</f>
        <v>146354956.15</v>
      </c>
      <c r="P395" s="117">
        <v>-434700</v>
      </c>
      <c r="Q395" s="76">
        <f>O395+P395</f>
        <v>145920256.15</v>
      </c>
      <c r="R395" s="117">
        <v>512469</v>
      </c>
      <c r="S395" s="76">
        <f>Q395+R395</f>
        <v>146432725.15</v>
      </c>
      <c r="T395" s="76">
        <v>146432725.15</v>
      </c>
      <c r="U395" s="56">
        <f t="shared" si="15"/>
        <v>100</v>
      </c>
    </row>
    <row r="396" spans="1:21" s="1" customFormat="1" ht="19.5" customHeight="1">
      <c r="A396" s="97" t="s">
        <v>66</v>
      </c>
      <c r="B396" s="102">
        <v>906</v>
      </c>
      <c r="C396" s="49" t="s">
        <v>109</v>
      </c>
      <c r="D396" s="49"/>
      <c r="E396" s="49" t="s">
        <v>417</v>
      </c>
      <c r="F396" s="49" t="s">
        <v>65</v>
      </c>
      <c r="G396" s="76">
        <v>111082579</v>
      </c>
      <c r="H396" s="117"/>
      <c r="I396" s="76">
        <f>G396+H396</f>
        <v>111082579</v>
      </c>
      <c r="J396" s="77">
        <v>-22843255</v>
      </c>
      <c r="K396" s="76">
        <f>I396+J396</f>
        <v>88239324</v>
      </c>
      <c r="L396" s="77"/>
      <c r="M396" s="76">
        <f>K396+L396</f>
        <v>88239324</v>
      </c>
      <c r="N396" s="117">
        <v>5953049.85</v>
      </c>
      <c r="O396" s="76">
        <f>M396+N396</f>
        <v>94192373.85</v>
      </c>
      <c r="P396" s="117">
        <v>434700</v>
      </c>
      <c r="Q396" s="76">
        <f>O396+P396</f>
        <v>94627073.85</v>
      </c>
      <c r="R396" s="117">
        <v>933441</v>
      </c>
      <c r="S396" s="76">
        <f>Q396+R396</f>
        <v>95560514.85</v>
      </c>
      <c r="T396" s="76">
        <v>95560514.85</v>
      </c>
      <c r="U396" s="56">
        <f t="shared" si="15"/>
        <v>100</v>
      </c>
    </row>
    <row r="397" spans="1:21" s="1" customFormat="1" ht="224.25" customHeight="1">
      <c r="A397" s="9" t="s">
        <v>741</v>
      </c>
      <c r="B397" s="45" t="s">
        <v>136</v>
      </c>
      <c r="C397" s="45" t="s">
        <v>109</v>
      </c>
      <c r="D397" s="45" t="s">
        <v>742</v>
      </c>
      <c r="E397" s="45" t="s">
        <v>418</v>
      </c>
      <c r="F397" s="45"/>
      <c r="G397" s="56">
        <f>G398+G399</f>
        <v>4622037</v>
      </c>
      <c r="H397" s="77"/>
      <c r="I397" s="56">
        <f>I398+I399</f>
        <v>4622037</v>
      </c>
      <c r="J397" s="77"/>
      <c r="K397" s="76">
        <f>K398+K399</f>
        <v>5256500</v>
      </c>
      <c r="L397" s="77"/>
      <c r="M397" s="76">
        <f>M398+M399</f>
        <v>5256500</v>
      </c>
      <c r="N397" s="117"/>
      <c r="O397" s="76">
        <f>O398+O399</f>
        <v>5256500</v>
      </c>
      <c r="P397" s="117"/>
      <c r="Q397" s="76">
        <f>Q398+Q399</f>
        <v>5256500</v>
      </c>
      <c r="R397" s="117"/>
      <c r="S397" s="76">
        <f>S398+S399</f>
        <v>5477500</v>
      </c>
      <c r="T397" s="76">
        <f>T398+T399</f>
        <v>5477500</v>
      </c>
      <c r="U397" s="56">
        <f aca="true" t="shared" si="19" ref="U397:U460">IF(S397=0,"-",IF(T397/S397*100&gt;110,"свыше 100",ROUND((T397/S397*100),1)))</f>
        <v>100</v>
      </c>
    </row>
    <row r="398" spans="1:21" s="1" customFormat="1" ht="39.75" customHeight="1">
      <c r="A398" s="99" t="s">
        <v>68</v>
      </c>
      <c r="B398" s="49" t="s">
        <v>136</v>
      </c>
      <c r="C398" s="49" t="s">
        <v>109</v>
      </c>
      <c r="D398" s="49"/>
      <c r="E398" s="49" t="s">
        <v>418</v>
      </c>
      <c r="F398" s="49" t="s">
        <v>59</v>
      </c>
      <c r="G398" s="76">
        <v>2272704</v>
      </c>
      <c r="H398" s="117"/>
      <c r="I398" s="76">
        <f>G398+H398</f>
        <v>2272704</v>
      </c>
      <c r="J398" s="77">
        <v>634463</v>
      </c>
      <c r="K398" s="76">
        <f>I398+J398</f>
        <v>2907167</v>
      </c>
      <c r="L398" s="77"/>
      <c r="M398" s="76">
        <f>K398+L398</f>
        <v>2907167</v>
      </c>
      <c r="N398" s="117"/>
      <c r="O398" s="76">
        <f>M398+N398</f>
        <v>2907167</v>
      </c>
      <c r="P398" s="117">
        <v>-14542.88</v>
      </c>
      <c r="Q398" s="76">
        <f>O398+P398</f>
        <v>2892624.12</v>
      </c>
      <c r="R398" s="117">
        <v>170000</v>
      </c>
      <c r="S398" s="76">
        <f>Q398+R398</f>
        <v>3062624.12</v>
      </c>
      <c r="T398" s="76">
        <v>3062624.12</v>
      </c>
      <c r="U398" s="56">
        <f t="shared" si="19"/>
        <v>100</v>
      </c>
    </row>
    <row r="399" spans="1:21" s="1" customFormat="1" ht="21.75" customHeight="1">
      <c r="A399" s="97" t="s">
        <v>66</v>
      </c>
      <c r="B399" s="49" t="s">
        <v>136</v>
      </c>
      <c r="C399" s="49" t="s">
        <v>109</v>
      </c>
      <c r="D399" s="49"/>
      <c r="E399" s="49" t="s">
        <v>418</v>
      </c>
      <c r="F399" s="49" t="s">
        <v>65</v>
      </c>
      <c r="G399" s="76">
        <v>2349333</v>
      </c>
      <c r="H399" s="77"/>
      <c r="I399" s="76">
        <f>G399+H399</f>
        <v>2349333</v>
      </c>
      <c r="J399" s="77"/>
      <c r="K399" s="76">
        <f>I399+J399</f>
        <v>2349333</v>
      </c>
      <c r="L399" s="77"/>
      <c r="M399" s="76">
        <f>K399+L399</f>
        <v>2349333</v>
      </c>
      <c r="N399" s="117"/>
      <c r="O399" s="76">
        <f>M399+N399</f>
        <v>2349333</v>
      </c>
      <c r="P399" s="117">
        <v>14542.88</v>
      </c>
      <c r="Q399" s="76">
        <f>O399+P399</f>
        <v>2363875.88</v>
      </c>
      <c r="R399" s="117">
        <v>51000</v>
      </c>
      <c r="S399" s="76">
        <f>Q399+R399</f>
        <v>2414875.88</v>
      </c>
      <c r="T399" s="76">
        <v>2414875.88</v>
      </c>
      <c r="U399" s="56">
        <f t="shared" si="19"/>
        <v>100</v>
      </c>
    </row>
    <row r="400" spans="1:21" s="1" customFormat="1" ht="63" customHeight="1">
      <c r="A400" s="28" t="s">
        <v>520</v>
      </c>
      <c r="B400" s="45" t="s">
        <v>136</v>
      </c>
      <c r="C400" s="45" t="s">
        <v>109</v>
      </c>
      <c r="D400" s="45" t="s">
        <v>519</v>
      </c>
      <c r="E400" s="45" t="s">
        <v>420</v>
      </c>
      <c r="F400" s="45"/>
      <c r="G400" s="56">
        <f>G401+G402</f>
        <v>13702000</v>
      </c>
      <c r="H400" s="117"/>
      <c r="I400" s="56">
        <f>I401+I402</f>
        <v>13702000</v>
      </c>
      <c r="J400" s="77"/>
      <c r="K400" s="76">
        <f>K401+K402</f>
        <v>13702000</v>
      </c>
      <c r="L400" s="77"/>
      <c r="M400" s="76">
        <f>M401+M402</f>
        <v>13702000</v>
      </c>
      <c r="N400" s="117"/>
      <c r="O400" s="76">
        <f>O401+O402</f>
        <v>13702000</v>
      </c>
      <c r="P400" s="117"/>
      <c r="Q400" s="76">
        <f>Q401+Q402</f>
        <v>13702000</v>
      </c>
      <c r="R400" s="117"/>
      <c r="S400" s="76">
        <f>S401+S402</f>
        <v>13702000</v>
      </c>
      <c r="T400" s="76">
        <f>T401+T402</f>
        <v>13702000</v>
      </c>
      <c r="U400" s="56">
        <f t="shared" si="19"/>
        <v>100</v>
      </c>
    </row>
    <row r="401" spans="1:21" s="1" customFormat="1" ht="36.75" customHeight="1">
      <c r="A401" s="103" t="s">
        <v>69</v>
      </c>
      <c r="B401" s="49" t="s">
        <v>136</v>
      </c>
      <c r="C401" s="49" t="s">
        <v>109</v>
      </c>
      <c r="D401" s="49"/>
      <c r="E401" s="49" t="s">
        <v>420</v>
      </c>
      <c r="F401" s="49" t="s">
        <v>59</v>
      </c>
      <c r="G401" s="76">
        <v>6958440</v>
      </c>
      <c r="H401" s="77">
        <v>250000</v>
      </c>
      <c r="I401" s="76">
        <f>G401+H401</f>
        <v>7208440</v>
      </c>
      <c r="J401" s="77">
        <v>150000</v>
      </c>
      <c r="K401" s="76">
        <f>I401+J401</f>
        <v>7358440</v>
      </c>
      <c r="L401" s="77"/>
      <c r="M401" s="76">
        <f>K401+L401</f>
        <v>7358440</v>
      </c>
      <c r="N401" s="117"/>
      <c r="O401" s="76">
        <f>M401+N401</f>
        <v>7358440</v>
      </c>
      <c r="P401" s="117">
        <v>-185020.88</v>
      </c>
      <c r="Q401" s="76">
        <f>O401+P401</f>
        <v>7173419.12</v>
      </c>
      <c r="R401" s="117"/>
      <c r="S401" s="76">
        <f>Q401+R401</f>
        <v>7173419.12</v>
      </c>
      <c r="T401" s="76">
        <v>7173419.12</v>
      </c>
      <c r="U401" s="56">
        <f t="shared" si="19"/>
        <v>100</v>
      </c>
    </row>
    <row r="402" spans="1:21" s="1" customFormat="1" ht="24.75" customHeight="1">
      <c r="A402" s="97" t="s">
        <v>66</v>
      </c>
      <c r="B402" s="49" t="s">
        <v>136</v>
      </c>
      <c r="C402" s="49" t="s">
        <v>109</v>
      </c>
      <c r="D402" s="49"/>
      <c r="E402" s="49" t="s">
        <v>420</v>
      </c>
      <c r="F402" s="49" t="s">
        <v>65</v>
      </c>
      <c r="G402" s="76">
        <v>6743560</v>
      </c>
      <c r="H402" s="77">
        <v>-250000</v>
      </c>
      <c r="I402" s="76">
        <f>G402+H402</f>
        <v>6493560</v>
      </c>
      <c r="J402" s="77">
        <v>-150000</v>
      </c>
      <c r="K402" s="76">
        <f>I402+J402</f>
        <v>6343560</v>
      </c>
      <c r="L402" s="77"/>
      <c r="M402" s="76">
        <f>K402+L402</f>
        <v>6343560</v>
      </c>
      <c r="N402" s="117"/>
      <c r="O402" s="76">
        <f>M402+N402</f>
        <v>6343560</v>
      </c>
      <c r="P402" s="117">
        <v>185020.88</v>
      </c>
      <c r="Q402" s="76">
        <f>O402+P402</f>
        <v>6528580.88</v>
      </c>
      <c r="R402" s="117"/>
      <c r="S402" s="76">
        <f>Q402+R402</f>
        <v>6528580.88</v>
      </c>
      <c r="T402" s="76">
        <v>6528580.88</v>
      </c>
      <c r="U402" s="56">
        <f t="shared" si="19"/>
        <v>100</v>
      </c>
    </row>
    <row r="403" spans="1:21" s="1" customFormat="1" ht="85.5" customHeight="1">
      <c r="A403" s="103" t="s">
        <v>748</v>
      </c>
      <c r="B403" s="49" t="s">
        <v>136</v>
      </c>
      <c r="C403" s="49" t="s">
        <v>109</v>
      </c>
      <c r="D403" s="49"/>
      <c r="E403" s="49" t="s">
        <v>747</v>
      </c>
      <c r="F403" s="49"/>
      <c r="G403" s="76"/>
      <c r="H403" s="77"/>
      <c r="I403" s="76">
        <f>I404</f>
        <v>33000</v>
      </c>
      <c r="J403" s="77"/>
      <c r="K403" s="76">
        <f>K404</f>
        <v>33000</v>
      </c>
      <c r="L403" s="77"/>
      <c r="M403" s="76">
        <f>M404</f>
        <v>33000</v>
      </c>
      <c r="N403" s="117"/>
      <c r="O403" s="76">
        <f>O404</f>
        <v>33000</v>
      </c>
      <c r="P403" s="117"/>
      <c r="Q403" s="76">
        <f>Q404</f>
        <v>24000</v>
      </c>
      <c r="R403" s="117"/>
      <c r="S403" s="76">
        <f>S404</f>
        <v>24000</v>
      </c>
      <c r="T403" s="76">
        <f>T404</f>
        <v>18080</v>
      </c>
      <c r="U403" s="56">
        <f t="shared" si="19"/>
        <v>75.3</v>
      </c>
    </row>
    <row r="404" spans="1:21" s="1" customFormat="1" ht="25.5" customHeight="1">
      <c r="A404" s="97" t="s">
        <v>66</v>
      </c>
      <c r="B404" s="49" t="s">
        <v>136</v>
      </c>
      <c r="C404" s="49" t="s">
        <v>109</v>
      </c>
      <c r="D404" s="49"/>
      <c r="E404" s="49" t="s">
        <v>747</v>
      </c>
      <c r="F404" s="49" t="s">
        <v>65</v>
      </c>
      <c r="G404" s="76"/>
      <c r="H404" s="77">
        <v>33000</v>
      </c>
      <c r="I404" s="76">
        <f>G404+H404</f>
        <v>33000</v>
      </c>
      <c r="J404" s="77"/>
      <c r="K404" s="76">
        <f>I404+J404</f>
        <v>33000</v>
      </c>
      <c r="L404" s="77"/>
      <c r="M404" s="76">
        <f>K404+L404</f>
        <v>33000</v>
      </c>
      <c r="N404" s="117"/>
      <c r="O404" s="76">
        <f>M404+N404</f>
        <v>33000</v>
      </c>
      <c r="P404" s="117">
        <v>-9000</v>
      </c>
      <c r="Q404" s="76">
        <f>O404+P404</f>
        <v>24000</v>
      </c>
      <c r="R404" s="117"/>
      <c r="S404" s="76">
        <f>Q404+R404</f>
        <v>24000</v>
      </c>
      <c r="T404" s="76">
        <v>18080</v>
      </c>
      <c r="U404" s="56">
        <f t="shared" si="19"/>
        <v>75.3</v>
      </c>
    </row>
    <row r="405" spans="1:21" s="1" customFormat="1" ht="47.25">
      <c r="A405" s="18" t="s">
        <v>518</v>
      </c>
      <c r="B405" s="45" t="s">
        <v>136</v>
      </c>
      <c r="C405" s="45" t="s">
        <v>109</v>
      </c>
      <c r="D405" s="45" t="s">
        <v>521</v>
      </c>
      <c r="E405" s="45" t="s">
        <v>421</v>
      </c>
      <c r="F405" s="45"/>
      <c r="G405" s="56">
        <f>G406+G407</f>
        <v>600000</v>
      </c>
      <c r="H405" s="113"/>
      <c r="I405" s="56">
        <f>I406+I407</f>
        <v>600000</v>
      </c>
      <c r="J405" s="112"/>
      <c r="K405" s="76">
        <f>K406+K407</f>
        <v>600000</v>
      </c>
      <c r="L405" s="112"/>
      <c r="M405" s="76">
        <f>M406+M407</f>
        <v>600000</v>
      </c>
      <c r="N405" s="113"/>
      <c r="O405" s="76">
        <f>O406+O407</f>
        <v>600000</v>
      </c>
      <c r="P405" s="117"/>
      <c r="Q405" s="76">
        <f>Q406+Q407</f>
        <v>600000</v>
      </c>
      <c r="R405" s="117"/>
      <c r="S405" s="76">
        <f>S406+S407</f>
        <v>600000</v>
      </c>
      <c r="T405" s="76">
        <f>T406+T407</f>
        <v>557125.94</v>
      </c>
      <c r="U405" s="56">
        <f t="shared" si="19"/>
        <v>92.9</v>
      </c>
    </row>
    <row r="406" spans="1:21" s="1" customFormat="1" ht="31.5">
      <c r="A406" s="103" t="s">
        <v>69</v>
      </c>
      <c r="B406" s="49" t="s">
        <v>136</v>
      </c>
      <c r="C406" s="49" t="s">
        <v>109</v>
      </c>
      <c r="D406" s="49"/>
      <c r="E406" s="49" t="s">
        <v>421</v>
      </c>
      <c r="F406" s="49" t="s">
        <v>59</v>
      </c>
      <c r="G406" s="76">
        <v>308130</v>
      </c>
      <c r="H406" s="115"/>
      <c r="I406" s="76">
        <f>G406+H406</f>
        <v>308130</v>
      </c>
      <c r="J406" s="115">
        <v>9000</v>
      </c>
      <c r="K406" s="76">
        <f>I406+J406</f>
        <v>317130</v>
      </c>
      <c r="L406" s="115"/>
      <c r="M406" s="76">
        <f>K406+L406</f>
        <v>317130</v>
      </c>
      <c r="N406" s="116"/>
      <c r="O406" s="76">
        <f>M406+N406</f>
        <v>317130</v>
      </c>
      <c r="P406" s="117"/>
      <c r="Q406" s="76">
        <f>O406+P406</f>
        <v>317130</v>
      </c>
      <c r="R406" s="117"/>
      <c r="S406" s="76">
        <f>Q406+R406</f>
        <v>317130</v>
      </c>
      <c r="T406" s="76">
        <v>274255.94</v>
      </c>
      <c r="U406" s="56">
        <f t="shared" si="19"/>
        <v>86.5</v>
      </c>
    </row>
    <row r="407" spans="1:21" s="1" customFormat="1" ht="19.5" customHeight="1">
      <c r="A407" s="97" t="s">
        <v>66</v>
      </c>
      <c r="B407" s="49" t="s">
        <v>136</v>
      </c>
      <c r="C407" s="49" t="s">
        <v>109</v>
      </c>
      <c r="D407" s="49"/>
      <c r="E407" s="49" t="s">
        <v>421</v>
      </c>
      <c r="F407" s="49" t="s">
        <v>65</v>
      </c>
      <c r="G407" s="76">
        <v>291870</v>
      </c>
      <c r="H407" s="116"/>
      <c r="I407" s="76">
        <f>G407+H407</f>
        <v>291870</v>
      </c>
      <c r="J407" s="115">
        <v>-9000</v>
      </c>
      <c r="K407" s="76">
        <f>I407+J407</f>
        <v>282870</v>
      </c>
      <c r="L407" s="115"/>
      <c r="M407" s="76">
        <f>K407+L407</f>
        <v>282870</v>
      </c>
      <c r="N407" s="116"/>
      <c r="O407" s="76">
        <f>M407+N407</f>
        <v>282870</v>
      </c>
      <c r="P407" s="117"/>
      <c r="Q407" s="76">
        <f>O407+P407</f>
        <v>282870</v>
      </c>
      <c r="R407" s="117"/>
      <c r="S407" s="76">
        <f>Q407+R407</f>
        <v>282870</v>
      </c>
      <c r="T407" s="76">
        <f>R407+S407</f>
        <v>282870</v>
      </c>
      <c r="U407" s="56">
        <f t="shared" si="19"/>
        <v>100</v>
      </c>
    </row>
    <row r="408" spans="1:21" ht="65.25" customHeight="1">
      <c r="A408" s="9" t="s">
        <v>522</v>
      </c>
      <c r="B408" s="45" t="s">
        <v>136</v>
      </c>
      <c r="C408" s="45" t="s">
        <v>109</v>
      </c>
      <c r="D408" s="45" t="s">
        <v>523</v>
      </c>
      <c r="E408" s="45" t="s">
        <v>422</v>
      </c>
      <c r="F408" s="45"/>
      <c r="G408" s="56">
        <f>G409+G410+G411</f>
        <v>60306043.760000005</v>
      </c>
      <c r="H408" s="112"/>
      <c r="I408" s="56">
        <f>I409+I410+I411</f>
        <v>62581822.78</v>
      </c>
      <c r="J408" s="112"/>
      <c r="K408" s="76">
        <f>K409+K410+K411</f>
        <v>63716101.6</v>
      </c>
      <c r="L408" s="112"/>
      <c r="M408" s="76">
        <f>M409+M410+M411</f>
        <v>65052350.980000004</v>
      </c>
      <c r="N408" s="113"/>
      <c r="O408" s="76">
        <f>O409+O410+O411</f>
        <v>64615802.58</v>
      </c>
      <c r="P408" s="113"/>
      <c r="Q408" s="76">
        <f>Q409+Q410+Q411+Q412</f>
        <v>67237751.58</v>
      </c>
      <c r="R408" s="113"/>
      <c r="S408" s="76">
        <f>S409+S410+S411+S412</f>
        <v>65838572.87</v>
      </c>
      <c r="T408" s="76">
        <f>T409+T410+T411+T412</f>
        <v>64248925.629999995</v>
      </c>
      <c r="U408" s="56">
        <f t="shared" si="19"/>
        <v>97.6</v>
      </c>
    </row>
    <row r="409" spans="1:21" ht="36" customHeight="1">
      <c r="A409" s="99" t="s">
        <v>58</v>
      </c>
      <c r="B409" s="49" t="s">
        <v>136</v>
      </c>
      <c r="C409" s="49" t="s">
        <v>109</v>
      </c>
      <c r="D409" s="49"/>
      <c r="E409" s="49" t="s">
        <v>422</v>
      </c>
      <c r="F409" s="49" t="s">
        <v>57</v>
      </c>
      <c r="G409" s="76">
        <v>28675262</v>
      </c>
      <c r="H409" s="113">
        <v>1011099.98</v>
      </c>
      <c r="I409" s="76">
        <f>G409+H409</f>
        <v>29686361.98</v>
      </c>
      <c r="J409" s="112">
        <v>1101165.19</v>
      </c>
      <c r="K409" s="76">
        <f>I409+J409</f>
        <v>30787527.17</v>
      </c>
      <c r="L409" s="112"/>
      <c r="M409" s="76">
        <f>K409+L409</f>
        <v>30787527.17</v>
      </c>
      <c r="N409" s="113">
        <v>239842.89</v>
      </c>
      <c r="O409" s="76">
        <f>M409+N409</f>
        <v>31027370.060000002</v>
      </c>
      <c r="P409" s="113">
        <v>2135805</v>
      </c>
      <c r="Q409" s="76">
        <f>O409+P409</f>
        <v>33163175.060000002</v>
      </c>
      <c r="R409" s="113">
        <v>912667.8</v>
      </c>
      <c r="S409" s="76">
        <f>Q409+R409</f>
        <v>34075842.86</v>
      </c>
      <c r="T409" s="76">
        <v>34074245.6</v>
      </c>
      <c r="U409" s="56">
        <f t="shared" si="19"/>
        <v>100</v>
      </c>
    </row>
    <row r="410" spans="1:21" s="7" customFormat="1" ht="35.25" customHeight="1">
      <c r="A410" s="99" t="s">
        <v>69</v>
      </c>
      <c r="B410" s="49" t="s">
        <v>136</v>
      </c>
      <c r="C410" s="49" t="s">
        <v>109</v>
      </c>
      <c r="D410" s="49"/>
      <c r="E410" s="49" t="s">
        <v>422</v>
      </c>
      <c r="F410" s="49" t="s">
        <v>59</v>
      </c>
      <c r="G410" s="76">
        <v>30740581.76</v>
      </c>
      <c r="H410" s="113">
        <v>1257701.04</v>
      </c>
      <c r="I410" s="76">
        <f>G410+H410</f>
        <v>31998282.8</v>
      </c>
      <c r="J410" s="112">
        <v>-112788.37</v>
      </c>
      <c r="K410" s="76">
        <f>I410+J410</f>
        <v>31885494.43</v>
      </c>
      <c r="L410" s="132">
        <v>651924.38</v>
      </c>
      <c r="M410" s="76">
        <f>K410+L410</f>
        <v>32537418.81</v>
      </c>
      <c r="N410" s="137">
        <v>-676391.29</v>
      </c>
      <c r="O410" s="76">
        <f>M410+N410</f>
        <v>31861027.52</v>
      </c>
      <c r="P410" s="116">
        <v>459300</v>
      </c>
      <c r="Q410" s="76">
        <f>O410+P410</f>
        <v>32320327.52</v>
      </c>
      <c r="R410" s="142">
        <v>-2304578.28</v>
      </c>
      <c r="S410" s="76">
        <f>Q410+R410</f>
        <v>30015749.24</v>
      </c>
      <c r="T410" s="76">
        <v>28429763.56</v>
      </c>
      <c r="U410" s="56">
        <f t="shared" si="19"/>
        <v>94.7</v>
      </c>
    </row>
    <row r="411" spans="1:21" ht="29.25" customHeight="1">
      <c r="A411" s="103" t="s">
        <v>62</v>
      </c>
      <c r="B411" s="49" t="s">
        <v>136</v>
      </c>
      <c r="C411" s="49" t="s">
        <v>109</v>
      </c>
      <c r="D411" s="49"/>
      <c r="E411" s="49" t="s">
        <v>422</v>
      </c>
      <c r="F411" s="49" t="s">
        <v>61</v>
      </c>
      <c r="G411" s="76">
        <v>890200</v>
      </c>
      <c r="H411" s="113">
        <v>6978</v>
      </c>
      <c r="I411" s="76">
        <f>G411+H411</f>
        <v>897178</v>
      </c>
      <c r="J411" s="112">
        <v>145902</v>
      </c>
      <c r="K411" s="76">
        <f>I411+J411</f>
        <v>1043080</v>
      </c>
      <c r="L411" s="134">
        <v>684325</v>
      </c>
      <c r="M411" s="76">
        <f>K411+L411</f>
        <v>1727405</v>
      </c>
      <c r="N411" s="113"/>
      <c r="O411" s="76">
        <f>M411+N411</f>
        <v>1727405</v>
      </c>
      <c r="P411" s="113">
        <v>1844</v>
      </c>
      <c r="Q411" s="76">
        <f>O411+P411</f>
        <v>1729249</v>
      </c>
      <c r="R411" s="136">
        <v>17731.77</v>
      </c>
      <c r="S411" s="76">
        <f>Q411+R411</f>
        <v>1746980.77</v>
      </c>
      <c r="T411" s="76">
        <v>1744916.47</v>
      </c>
      <c r="U411" s="56">
        <f t="shared" si="19"/>
        <v>99.9</v>
      </c>
    </row>
    <row r="412" spans="1:21" ht="8.25" customHeight="1" hidden="1">
      <c r="A412" s="103" t="s">
        <v>213</v>
      </c>
      <c r="B412" s="49" t="s">
        <v>136</v>
      </c>
      <c r="C412" s="49" t="s">
        <v>109</v>
      </c>
      <c r="D412" s="49"/>
      <c r="E412" s="49" t="s">
        <v>422</v>
      </c>
      <c r="F412" s="49" t="s">
        <v>211</v>
      </c>
      <c r="G412" s="76"/>
      <c r="H412" s="113"/>
      <c r="I412" s="76"/>
      <c r="J412" s="112"/>
      <c r="K412" s="76"/>
      <c r="L412" s="134"/>
      <c r="M412" s="76"/>
      <c r="N412" s="113"/>
      <c r="O412" s="76"/>
      <c r="P412" s="113">
        <v>25000</v>
      </c>
      <c r="Q412" s="76">
        <f>O412+P412</f>
        <v>25000</v>
      </c>
      <c r="R412" s="113">
        <v>-25000</v>
      </c>
      <c r="S412" s="76">
        <f>Q412+R412</f>
        <v>0</v>
      </c>
      <c r="T412" s="76">
        <v>0</v>
      </c>
      <c r="U412" s="56" t="str">
        <f t="shared" si="19"/>
        <v>-</v>
      </c>
    </row>
    <row r="413" spans="1:21" ht="50.25" customHeight="1">
      <c r="A413" s="9" t="s">
        <v>524</v>
      </c>
      <c r="B413" s="45" t="s">
        <v>136</v>
      </c>
      <c r="C413" s="45" t="s">
        <v>109</v>
      </c>
      <c r="D413" s="45" t="s">
        <v>525</v>
      </c>
      <c r="E413" s="45" t="s">
        <v>423</v>
      </c>
      <c r="F413" s="45"/>
      <c r="G413" s="56">
        <f>G414</f>
        <v>42857543</v>
      </c>
      <c r="H413" s="112"/>
      <c r="I413" s="56">
        <f>I414</f>
        <v>40581763.98</v>
      </c>
      <c r="J413" s="112"/>
      <c r="K413" s="76">
        <f>K414</f>
        <v>38580036.779999994</v>
      </c>
      <c r="L413" s="112"/>
      <c r="M413" s="76">
        <f>M414</f>
        <v>38900036.779999994</v>
      </c>
      <c r="N413" s="113"/>
      <c r="O413" s="76">
        <f>O414</f>
        <v>38650614.49999999</v>
      </c>
      <c r="P413" s="113"/>
      <c r="Q413" s="76">
        <f>Q414</f>
        <v>39068201.949999996</v>
      </c>
      <c r="R413" s="113"/>
      <c r="S413" s="76">
        <f>S414</f>
        <v>39618201.949999996</v>
      </c>
      <c r="T413" s="76">
        <f>T414</f>
        <v>39618201.95</v>
      </c>
      <c r="U413" s="56">
        <f t="shared" si="19"/>
        <v>100</v>
      </c>
    </row>
    <row r="414" spans="1:21" ht="28.5" customHeight="1">
      <c r="A414" s="97" t="s">
        <v>66</v>
      </c>
      <c r="B414" s="49" t="s">
        <v>136</v>
      </c>
      <c r="C414" s="49" t="s">
        <v>109</v>
      </c>
      <c r="D414" s="49"/>
      <c r="E414" s="49" t="s">
        <v>423</v>
      </c>
      <c r="F414" s="49" t="s">
        <v>65</v>
      </c>
      <c r="G414" s="76">
        <v>42857543</v>
      </c>
      <c r="H414" s="112">
        <v>-2275779.02</v>
      </c>
      <c r="I414" s="76">
        <f>G414+H414</f>
        <v>40581763.98</v>
      </c>
      <c r="J414" s="112">
        <v>-2001727.2</v>
      </c>
      <c r="K414" s="76">
        <f>I414+J414</f>
        <v>38580036.779999994</v>
      </c>
      <c r="L414" s="112">
        <v>320000</v>
      </c>
      <c r="M414" s="76">
        <f>K414+L414</f>
        <v>38900036.779999994</v>
      </c>
      <c r="N414" s="113">
        <v>-249422.28</v>
      </c>
      <c r="O414" s="76">
        <f>M414+N414</f>
        <v>38650614.49999999</v>
      </c>
      <c r="P414" s="136">
        <v>417587.45</v>
      </c>
      <c r="Q414" s="76">
        <f>O414+P414</f>
        <v>39068201.949999996</v>
      </c>
      <c r="R414" s="142">
        <v>550000</v>
      </c>
      <c r="S414" s="76">
        <f>Q414+R414</f>
        <v>39618201.949999996</v>
      </c>
      <c r="T414" s="76">
        <v>39618201.95</v>
      </c>
      <c r="U414" s="56">
        <f t="shared" si="19"/>
        <v>100</v>
      </c>
    </row>
    <row r="415" spans="1:21" ht="54" customHeight="1">
      <c r="A415" s="37" t="s">
        <v>526</v>
      </c>
      <c r="B415" s="49" t="s">
        <v>136</v>
      </c>
      <c r="C415" s="49" t="s">
        <v>109</v>
      </c>
      <c r="D415" s="49" t="s">
        <v>527</v>
      </c>
      <c r="E415" s="49" t="s">
        <v>424</v>
      </c>
      <c r="F415" s="49"/>
      <c r="G415" s="56">
        <f>G416</f>
        <v>2004000</v>
      </c>
      <c r="H415" s="115"/>
      <c r="I415" s="56">
        <f>I416</f>
        <v>2004000</v>
      </c>
      <c r="J415" s="115"/>
      <c r="K415" s="76">
        <f>K416</f>
        <v>2157900</v>
      </c>
      <c r="L415" s="115"/>
      <c r="M415" s="76">
        <f>M416</f>
        <v>2157900</v>
      </c>
      <c r="N415" s="116"/>
      <c r="O415" s="76">
        <f>O416</f>
        <v>2157900</v>
      </c>
      <c r="P415" s="113"/>
      <c r="Q415" s="76">
        <f>Q416</f>
        <v>1808400</v>
      </c>
      <c r="R415" s="113"/>
      <c r="S415" s="76">
        <f>S416</f>
        <v>1808400</v>
      </c>
      <c r="T415" s="76">
        <f>T416</f>
        <v>1332298.58</v>
      </c>
      <c r="U415" s="56">
        <f t="shared" si="19"/>
        <v>73.7</v>
      </c>
    </row>
    <row r="416" spans="1:21" ht="39.75" customHeight="1">
      <c r="A416" s="97" t="s">
        <v>69</v>
      </c>
      <c r="B416" s="49" t="s">
        <v>136</v>
      </c>
      <c r="C416" s="49" t="s">
        <v>109</v>
      </c>
      <c r="D416" s="49"/>
      <c r="E416" s="49" t="s">
        <v>424</v>
      </c>
      <c r="F416" s="49" t="s">
        <v>59</v>
      </c>
      <c r="G416" s="76">
        <v>2004000</v>
      </c>
      <c r="H416" s="115"/>
      <c r="I416" s="76">
        <f>G416+H416</f>
        <v>2004000</v>
      </c>
      <c r="J416" s="115">
        <v>153900</v>
      </c>
      <c r="K416" s="76">
        <f>I416+J416</f>
        <v>2157900</v>
      </c>
      <c r="L416" s="115"/>
      <c r="M416" s="76">
        <f>K416+L416</f>
        <v>2157900</v>
      </c>
      <c r="N416" s="116"/>
      <c r="O416" s="76">
        <f>M416+N416</f>
        <v>2157900</v>
      </c>
      <c r="P416" s="113">
        <v>-349500</v>
      </c>
      <c r="Q416" s="76">
        <f>O416+P416</f>
        <v>1808400</v>
      </c>
      <c r="R416" s="113"/>
      <c r="S416" s="76">
        <f>Q416+R416</f>
        <v>1808400</v>
      </c>
      <c r="T416" s="76">
        <v>1332298.58</v>
      </c>
      <c r="U416" s="56">
        <f t="shared" si="19"/>
        <v>73.7</v>
      </c>
    </row>
    <row r="417" spans="1:21" ht="64.5" customHeight="1">
      <c r="A417" s="9" t="s">
        <v>528</v>
      </c>
      <c r="B417" s="45" t="s">
        <v>136</v>
      </c>
      <c r="C417" s="45" t="s">
        <v>109</v>
      </c>
      <c r="D417" s="45" t="s">
        <v>529</v>
      </c>
      <c r="E417" s="45" t="s">
        <v>425</v>
      </c>
      <c r="F417" s="45"/>
      <c r="G417" s="56">
        <f>G418</f>
        <v>16656951.69</v>
      </c>
      <c r="H417" s="112"/>
      <c r="I417" s="56">
        <f>I418</f>
        <v>16656951.69</v>
      </c>
      <c r="J417" s="112"/>
      <c r="K417" s="76">
        <f>K418</f>
        <v>16601671.09</v>
      </c>
      <c r="L417" s="112"/>
      <c r="M417" s="76">
        <f>M418</f>
        <v>16587171.09</v>
      </c>
      <c r="N417" s="113"/>
      <c r="O417" s="76">
        <f>O418</f>
        <v>16397171.09</v>
      </c>
      <c r="P417" s="113"/>
      <c r="Q417" s="76">
        <f>Q418</f>
        <v>15419171.09</v>
      </c>
      <c r="R417" s="113"/>
      <c r="S417" s="76">
        <f>S418</f>
        <v>15418779.09</v>
      </c>
      <c r="T417" s="76">
        <f>T418</f>
        <v>15267977.069999998</v>
      </c>
      <c r="U417" s="56">
        <f t="shared" si="19"/>
        <v>99</v>
      </c>
    </row>
    <row r="418" spans="1:21" ht="67.5" customHeight="1">
      <c r="A418" s="37" t="s">
        <v>530</v>
      </c>
      <c r="B418" s="49" t="s">
        <v>136</v>
      </c>
      <c r="C418" s="49" t="s">
        <v>109</v>
      </c>
      <c r="D418" s="49" t="s">
        <v>531</v>
      </c>
      <c r="E418" s="49" t="s">
        <v>426</v>
      </c>
      <c r="F418" s="49"/>
      <c r="G418" s="56">
        <f>G419+G420</f>
        <v>16656951.69</v>
      </c>
      <c r="H418" s="112"/>
      <c r="I418" s="56">
        <f>I419+I420+I421</f>
        <v>16656951.69</v>
      </c>
      <c r="J418" s="112"/>
      <c r="K418" s="76">
        <f>K419+K420+K421+K422</f>
        <v>16601671.09</v>
      </c>
      <c r="L418" s="112"/>
      <c r="M418" s="76">
        <f>M419+M420+M421+M422</f>
        <v>16587171.09</v>
      </c>
      <c r="N418" s="113"/>
      <c r="O418" s="76">
        <f>O419+O420+O421+O422</f>
        <v>16397171.09</v>
      </c>
      <c r="P418" s="113"/>
      <c r="Q418" s="76">
        <f>Q419+Q420+Q421+Q422</f>
        <v>15419171.09</v>
      </c>
      <c r="R418" s="113"/>
      <c r="S418" s="76">
        <f>S419+S420+S421+S422</f>
        <v>15418779.09</v>
      </c>
      <c r="T418" s="76">
        <f>T419+T420+T421+T422</f>
        <v>15267977.069999998</v>
      </c>
      <c r="U418" s="56">
        <f t="shared" si="19"/>
        <v>99</v>
      </c>
    </row>
    <row r="419" spans="1:21" ht="35.25" customHeight="1">
      <c r="A419" s="99" t="s">
        <v>58</v>
      </c>
      <c r="B419" s="49" t="s">
        <v>136</v>
      </c>
      <c r="C419" s="49" t="s">
        <v>109</v>
      </c>
      <c r="D419" s="49"/>
      <c r="E419" s="49" t="s">
        <v>426</v>
      </c>
      <c r="F419" s="49" t="s">
        <v>57</v>
      </c>
      <c r="G419" s="76">
        <v>15512444</v>
      </c>
      <c r="H419" s="112">
        <v>-1700</v>
      </c>
      <c r="I419" s="76">
        <f>G419+H419</f>
        <v>15510744</v>
      </c>
      <c r="J419" s="112">
        <v>-139290</v>
      </c>
      <c r="K419" s="76">
        <f>I419+J419</f>
        <v>15371454</v>
      </c>
      <c r="L419" s="112"/>
      <c r="M419" s="76">
        <f>K419+L419</f>
        <v>15371454</v>
      </c>
      <c r="N419" s="113"/>
      <c r="O419" s="76">
        <f>M419+N419</f>
        <v>15371454</v>
      </c>
      <c r="P419" s="113">
        <v>-983000</v>
      </c>
      <c r="Q419" s="76">
        <f>O419+P419</f>
        <v>14388454</v>
      </c>
      <c r="R419" s="113"/>
      <c r="S419" s="76">
        <f>Q419+R419</f>
        <v>14388454</v>
      </c>
      <c r="T419" s="76">
        <f>R419+S419</f>
        <v>14388454</v>
      </c>
      <c r="U419" s="56">
        <f t="shared" si="19"/>
        <v>100</v>
      </c>
    </row>
    <row r="420" spans="1:21" s="7" customFormat="1" ht="39.75" customHeight="1">
      <c r="A420" s="103" t="s">
        <v>68</v>
      </c>
      <c r="B420" s="49" t="s">
        <v>136</v>
      </c>
      <c r="C420" s="49" t="s">
        <v>109</v>
      </c>
      <c r="D420" s="49"/>
      <c r="E420" s="49" t="s">
        <v>426</v>
      </c>
      <c r="F420" s="49" t="s">
        <v>59</v>
      </c>
      <c r="G420" s="76">
        <v>1144507.69</v>
      </c>
      <c r="H420" s="112"/>
      <c r="I420" s="76">
        <f>G420+H420</f>
        <v>1144507.69</v>
      </c>
      <c r="J420" s="112">
        <v>34009.4</v>
      </c>
      <c r="K420" s="76">
        <f>I420+J420</f>
        <v>1178517.0899999999</v>
      </c>
      <c r="L420" s="112">
        <v>-14500</v>
      </c>
      <c r="M420" s="76">
        <f>K420+L420</f>
        <v>1164017.0899999999</v>
      </c>
      <c r="N420" s="113">
        <v>-190000</v>
      </c>
      <c r="O420" s="76">
        <f>M420+N420</f>
        <v>974017.0899999999</v>
      </c>
      <c r="P420" s="116"/>
      <c r="Q420" s="76">
        <f>O420+P420</f>
        <v>974017.0899999999</v>
      </c>
      <c r="R420" s="116"/>
      <c r="S420" s="76">
        <f>Q420+R420</f>
        <v>974017.0899999999</v>
      </c>
      <c r="T420" s="76">
        <v>831583.12</v>
      </c>
      <c r="U420" s="56">
        <f t="shared" si="19"/>
        <v>85.4</v>
      </c>
    </row>
    <row r="421" spans="1:21" s="7" customFormat="1" ht="29.25" customHeight="1">
      <c r="A421" s="103" t="s">
        <v>62</v>
      </c>
      <c r="B421" s="49" t="s">
        <v>136</v>
      </c>
      <c r="C421" s="49" t="s">
        <v>109</v>
      </c>
      <c r="D421" s="49"/>
      <c r="E421" s="49" t="s">
        <v>426</v>
      </c>
      <c r="F421" s="49" t="s">
        <v>61</v>
      </c>
      <c r="G421" s="76"/>
      <c r="H421" s="112">
        <v>1700</v>
      </c>
      <c r="I421" s="76">
        <f>G421+H421</f>
        <v>1700</v>
      </c>
      <c r="J421" s="112"/>
      <c r="K421" s="76">
        <f>I421+J421</f>
        <v>1700</v>
      </c>
      <c r="L421" s="112"/>
      <c r="M421" s="76">
        <f>K421+L421</f>
        <v>1700</v>
      </c>
      <c r="N421" s="113"/>
      <c r="O421" s="76">
        <f>M421+N421</f>
        <v>1700</v>
      </c>
      <c r="P421" s="116"/>
      <c r="Q421" s="76">
        <f>O421+P421</f>
        <v>1700</v>
      </c>
      <c r="R421" s="116">
        <v>-392</v>
      </c>
      <c r="S421" s="76">
        <f>Q421+R421</f>
        <v>1308</v>
      </c>
      <c r="T421" s="76">
        <v>1308</v>
      </c>
      <c r="U421" s="56">
        <f t="shared" si="19"/>
        <v>100</v>
      </c>
    </row>
    <row r="422" spans="1:21" s="7" customFormat="1" ht="20.25" customHeight="1">
      <c r="A422" s="103" t="s">
        <v>14</v>
      </c>
      <c r="B422" s="49" t="s">
        <v>136</v>
      </c>
      <c r="C422" s="49" t="s">
        <v>109</v>
      </c>
      <c r="D422" s="49"/>
      <c r="E422" s="49" t="s">
        <v>426</v>
      </c>
      <c r="F422" s="49" t="s">
        <v>211</v>
      </c>
      <c r="G422" s="76"/>
      <c r="H422" s="112"/>
      <c r="I422" s="76"/>
      <c r="J422" s="112">
        <v>50000</v>
      </c>
      <c r="K422" s="76">
        <f>I422+J422</f>
        <v>50000</v>
      </c>
      <c r="L422" s="112"/>
      <c r="M422" s="76">
        <f>K422+L422</f>
        <v>50000</v>
      </c>
      <c r="N422" s="113"/>
      <c r="O422" s="76">
        <f>M422+N422</f>
        <v>50000</v>
      </c>
      <c r="P422" s="116">
        <v>5000</v>
      </c>
      <c r="Q422" s="76">
        <f>O422+P422</f>
        <v>55000</v>
      </c>
      <c r="R422" s="116"/>
      <c r="S422" s="76">
        <f>Q422+R422</f>
        <v>55000</v>
      </c>
      <c r="T422" s="76">
        <v>46631.95</v>
      </c>
      <c r="U422" s="56">
        <f t="shared" si="19"/>
        <v>84.8</v>
      </c>
    </row>
    <row r="423" spans="1:21" ht="79.5" customHeight="1">
      <c r="A423" s="9" t="s">
        <v>541</v>
      </c>
      <c r="B423" s="45" t="s">
        <v>136</v>
      </c>
      <c r="C423" s="45" t="s">
        <v>109</v>
      </c>
      <c r="D423" s="45" t="s">
        <v>542</v>
      </c>
      <c r="E423" s="45" t="s">
        <v>419</v>
      </c>
      <c r="F423" s="45"/>
      <c r="G423" s="56">
        <f>G424+G427+G429</f>
        <v>3350000</v>
      </c>
      <c r="H423" s="112"/>
      <c r="I423" s="56">
        <f>I424+I427+I429</f>
        <v>3350000</v>
      </c>
      <c r="J423" s="112"/>
      <c r="K423" s="76">
        <f>K424+K427+K429+K435</f>
        <v>3852818</v>
      </c>
      <c r="L423" s="112"/>
      <c r="M423" s="76">
        <f>M424+M427+M429+M435+M431+M433</f>
        <v>5964052.32</v>
      </c>
      <c r="N423" s="113"/>
      <c r="O423" s="76">
        <f>O424+O427+O429+O435+O431+O433</f>
        <v>5584052.32</v>
      </c>
      <c r="P423" s="113"/>
      <c r="Q423" s="76">
        <f>Q424+Q427+Q429+Q435+Q431+Q433</f>
        <v>5441924.359999999</v>
      </c>
      <c r="R423" s="113"/>
      <c r="S423" s="76">
        <f>S424+S427+S429+S435+S431+S433</f>
        <v>5583924.369999999</v>
      </c>
      <c r="T423" s="76">
        <f>T424+T427+T429+T435+T431+T433</f>
        <v>5400417.63</v>
      </c>
      <c r="U423" s="56">
        <f t="shared" si="19"/>
        <v>96.7</v>
      </c>
    </row>
    <row r="424" spans="1:21" ht="96" customHeight="1">
      <c r="A424" s="28" t="s">
        <v>543</v>
      </c>
      <c r="B424" s="45" t="s">
        <v>136</v>
      </c>
      <c r="C424" s="45" t="s">
        <v>109</v>
      </c>
      <c r="D424" s="45" t="s">
        <v>544</v>
      </c>
      <c r="E424" s="45" t="s">
        <v>427</v>
      </c>
      <c r="F424" s="45"/>
      <c r="G424" s="56">
        <f>G425</f>
        <v>3000000</v>
      </c>
      <c r="H424" s="112"/>
      <c r="I424" s="56">
        <f>I425</f>
        <v>3000000</v>
      </c>
      <c r="J424" s="112"/>
      <c r="K424" s="76">
        <f>K425</f>
        <v>3000000</v>
      </c>
      <c r="L424" s="112"/>
      <c r="M424" s="76">
        <f>M425</f>
        <v>3000000</v>
      </c>
      <c r="N424" s="113"/>
      <c r="O424" s="76">
        <f>O425</f>
        <v>2620000</v>
      </c>
      <c r="P424" s="113"/>
      <c r="Q424" s="76">
        <f>Q425+Q426</f>
        <v>2226483.04</v>
      </c>
      <c r="R424" s="113"/>
      <c r="S424" s="76">
        <f>S425+S426</f>
        <v>2368483.05</v>
      </c>
      <c r="T424" s="76">
        <f>T425+T426</f>
        <v>2197428.3200000003</v>
      </c>
      <c r="U424" s="56">
        <f t="shared" si="19"/>
        <v>92.8</v>
      </c>
    </row>
    <row r="425" spans="1:21" ht="36.75" customHeight="1">
      <c r="A425" s="99" t="s">
        <v>69</v>
      </c>
      <c r="B425" s="49" t="s">
        <v>136</v>
      </c>
      <c r="C425" s="49" t="s">
        <v>109</v>
      </c>
      <c r="D425" s="49"/>
      <c r="E425" s="49" t="s">
        <v>427</v>
      </c>
      <c r="F425" s="49" t="s">
        <v>59</v>
      </c>
      <c r="G425" s="76">
        <v>3000000</v>
      </c>
      <c r="H425" s="113"/>
      <c r="I425" s="76">
        <f>G425+H425</f>
        <v>3000000</v>
      </c>
      <c r="J425" s="112"/>
      <c r="K425" s="76">
        <f>I425+J425</f>
        <v>3000000</v>
      </c>
      <c r="L425" s="112"/>
      <c r="M425" s="76">
        <f>K425+L425</f>
        <v>3000000</v>
      </c>
      <c r="N425" s="113">
        <v>-380000</v>
      </c>
      <c r="O425" s="76">
        <f>M425+N425</f>
        <v>2620000</v>
      </c>
      <c r="P425" s="113">
        <v>-1513516.96</v>
      </c>
      <c r="Q425" s="76">
        <f>O425+P425</f>
        <v>1106483.04</v>
      </c>
      <c r="R425" s="113"/>
      <c r="S425" s="76">
        <f>Q425+R425</f>
        <v>1106483.04</v>
      </c>
      <c r="T425" s="76">
        <f>R425+S425</f>
        <v>1106483.04</v>
      </c>
      <c r="U425" s="56">
        <f t="shared" si="19"/>
        <v>100</v>
      </c>
    </row>
    <row r="426" spans="1:21" ht="22.5" customHeight="1">
      <c r="A426" s="99" t="s">
        <v>66</v>
      </c>
      <c r="B426" s="49" t="s">
        <v>136</v>
      </c>
      <c r="C426" s="49" t="s">
        <v>109</v>
      </c>
      <c r="D426" s="49"/>
      <c r="E426" s="49" t="s">
        <v>427</v>
      </c>
      <c r="F426" s="49" t="s">
        <v>65</v>
      </c>
      <c r="G426" s="76"/>
      <c r="H426" s="113"/>
      <c r="I426" s="76"/>
      <c r="J426" s="112"/>
      <c r="K426" s="76"/>
      <c r="L426" s="112"/>
      <c r="M426" s="76"/>
      <c r="N426" s="113"/>
      <c r="O426" s="76"/>
      <c r="P426" s="113">
        <v>1120000</v>
      </c>
      <c r="Q426" s="76">
        <f>O426+P426</f>
        <v>1120000</v>
      </c>
      <c r="R426" s="113">
        <v>142000.01</v>
      </c>
      <c r="S426" s="76">
        <f>Q426+R426</f>
        <v>1262000.01</v>
      </c>
      <c r="T426" s="76">
        <v>1090945.28</v>
      </c>
      <c r="U426" s="56">
        <f t="shared" si="19"/>
        <v>86.4</v>
      </c>
    </row>
    <row r="427" spans="1:21" ht="126" customHeight="1" hidden="1">
      <c r="A427" s="37" t="s">
        <v>737</v>
      </c>
      <c r="B427" s="49" t="s">
        <v>136</v>
      </c>
      <c r="C427" s="49" t="s">
        <v>109</v>
      </c>
      <c r="D427" s="49" t="s">
        <v>714</v>
      </c>
      <c r="E427" s="49" t="s">
        <v>428</v>
      </c>
      <c r="F427" s="49"/>
      <c r="G427" s="66">
        <f>G428</f>
        <v>200000</v>
      </c>
      <c r="H427" s="112"/>
      <c r="I427" s="66">
        <f>I428</f>
        <v>200000</v>
      </c>
      <c r="J427" s="112"/>
      <c r="K427" s="104">
        <f>K428</f>
        <v>0</v>
      </c>
      <c r="L427" s="112"/>
      <c r="M427" s="104">
        <f>M428</f>
        <v>0</v>
      </c>
      <c r="N427" s="113"/>
      <c r="O427" s="104">
        <f>O428</f>
        <v>0</v>
      </c>
      <c r="P427" s="113"/>
      <c r="Q427" s="104">
        <f>Q428</f>
        <v>0</v>
      </c>
      <c r="R427" s="113"/>
      <c r="S427" s="104">
        <f>S428</f>
        <v>0</v>
      </c>
      <c r="T427" s="104">
        <f>T428</f>
        <v>0</v>
      </c>
      <c r="U427" s="56" t="str">
        <f t="shared" si="19"/>
        <v>-</v>
      </c>
    </row>
    <row r="428" spans="1:21" ht="3" customHeight="1" hidden="1">
      <c r="A428" s="99" t="s">
        <v>69</v>
      </c>
      <c r="B428" s="49" t="s">
        <v>136</v>
      </c>
      <c r="C428" s="49" t="s">
        <v>109</v>
      </c>
      <c r="D428" s="49"/>
      <c r="E428" s="49" t="s">
        <v>428</v>
      </c>
      <c r="F428" s="49" t="s">
        <v>59</v>
      </c>
      <c r="G428" s="104">
        <v>200000</v>
      </c>
      <c r="H428" s="112"/>
      <c r="I428" s="104">
        <f>G428+H428</f>
        <v>200000</v>
      </c>
      <c r="J428" s="112">
        <v>-200000</v>
      </c>
      <c r="K428" s="104">
        <f>I428+J428</f>
        <v>0</v>
      </c>
      <c r="L428" s="112"/>
      <c r="M428" s="104">
        <f>K428+L428</f>
        <v>0</v>
      </c>
      <c r="N428" s="113"/>
      <c r="O428" s="104">
        <f>M428+N428</f>
        <v>0</v>
      </c>
      <c r="P428" s="113"/>
      <c r="Q428" s="104">
        <f>O428+P428</f>
        <v>0</v>
      </c>
      <c r="R428" s="113"/>
      <c r="S428" s="104">
        <f>Q428+R428</f>
        <v>0</v>
      </c>
      <c r="T428" s="104">
        <f>R428+S428</f>
        <v>0</v>
      </c>
      <c r="U428" s="56" t="str">
        <f t="shared" si="19"/>
        <v>-</v>
      </c>
    </row>
    <row r="429" spans="1:21" ht="68.25" customHeight="1">
      <c r="A429" s="37" t="s">
        <v>679</v>
      </c>
      <c r="B429" s="49" t="s">
        <v>136</v>
      </c>
      <c r="C429" s="49" t="s">
        <v>109</v>
      </c>
      <c r="D429" s="49" t="s">
        <v>680</v>
      </c>
      <c r="E429" s="49" t="s">
        <v>429</v>
      </c>
      <c r="F429" s="49"/>
      <c r="G429" s="76">
        <f>G430</f>
        <v>150000</v>
      </c>
      <c r="H429" s="112"/>
      <c r="I429" s="76">
        <f>I430</f>
        <v>150000</v>
      </c>
      <c r="J429" s="112"/>
      <c r="K429" s="76">
        <f>K430</f>
        <v>150000</v>
      </c>
      <c r="L429" s="112"/>
      <c r="M429" s="76">
        <f>M430</f>
        <v>329797.32</v>
      </c>
      <c r="N429" s="113"/>
      <c r="O429" s="76">
        <f>O430</f>
        <v>329797.32</v>
      </c>
      <c r="P429" s="113"/>
      <c r="Q429" s="76">
        <f>Q430</f>
        <v>329797.32</v>
      </c>
      <c r="R429" s="113"/>
      <c r="S429" s="76">
        <f>S430</f>
        <v>329797.32</v>
      </c>
      <c r="T429" s="76">
        <f>T430</f>
        <v>329797.32</v>
      </c>
      <c r="U429" s="56">
        <f t="shared" si="19"/>
        <v>100</v>
      </c>
    </row>
    <row r="430" spans="1:21" ht="37.5" customHeight="1">
      <c r="A430" s="99" t="s">
        <v>68</v>
      </c>
      <c r="B430" s="49" t="s">
        <v>136</v>
      </c>
      <c r="C430" s="49" t="s">
        <v>109</v>
      </c>
      <c r="D430" s="49"/>
      <c r="E430" s="49" t="s">
        <v>429</v>
      </c>
      <c r="F430" s="49" t="s">
        <v>59</v>
      </c>
      <c r="G430" s="76">
        <v>150000</v>
      </c>
      <c r="H430" s="113"/>
      <c r="I430" s="76">
        <v>150000</v>
      </c>
      <c r="J430" s="112"/>
      <c r="K430" s="76">
        <v>150000</v>
      </c>
      <c r="L430" s="112">
        <v>179797.32</v>
      </c>
      <c r="M430" s="76">
        <f>K430+L430</f>
        <v>329797.32</v>
      </c>
      <c r="N430" s="113"/>
      <c r="O430" s="76">
        <f>M430+N430</f>
        <v>329797.32</v>
      </c>
      <c r="P430" s="113"/>
      <c r="Q430" s="76">
        <f>O430+P430</f>
        <v>329797.32</v>
      </c>
      <c r="R430" s="113"/>
      <c r="S430" s="76">
        <f>Q430+R430</f>
        <v>329797.32</v>
      </c>
      <c r="T430" s="76">
        <f>R430+S430</f>
        <v>329797.32</v>
      </c>
      <c r="U430" s="56">
        <f t="shared" si="19"/>
        <v>100</v>
      </c>
    </row>
    <row r="431" spans="1:21" ht="75.75" customHeight="1">
      <c r="A431" s="99" t="s">
        <v>705</v>
      </c>
      <c r="B431" s="49" t="s">
        <v>136</v>
      </c>
      <c r="C431" s="49" t="s">
        <v>109</v>
      </c>
      <c r="D431" s="49"/>
      <c r="E431" s="49" t="s">
        <v>706</v>
      </c>
      <c r="F431" s="49"/>
      <c r="G431" s="76"/>
      <c r="H431" s="113"/>
      <c r="I431" s="76"/>
      <c r="J431" s="112"/>
      <c r="K431" s="76"/>
      <c r="L431" s="112"/>
      <c r="M431" s="76">
        <f>M432</f>
        <v>1098104</v>
      </c>
      <c r="N431" s="113"/>
      <c r="O431" s="76">
        <f>O432</f>
        <v>1098104</v>
      </c>
      <c r="P431" s="113"/>
      <c r="Q431" s="76">
        <f>Q432</f>
        <v>1098104</v>
      </c>
      <c r="R431" s="113"/>
      <c r="S431" s="76">
        <f>S432</f>
        <v>1098104</v>
      </c>
      <c r="T431" s="76">
        <f>T432</f>
        <v>1098104</v>
      </c>
      <c r="U431" s="56">
        <f t="shared" si="19"/>
        <v>100</v>
      </c>
    </row>
    <row r="432" spans="1:21" ht="37.5" customHeight="1">
      <c r="A432" s="99" t="s">
        <v>69</v>
      </c>
      <c r="B432" s="49" t="s">
        <v>136</v>
      </c>
      <c r="C432" s="49" t="s">
        <v>109</v>
      </c>
      <c r="D432" s="49"/>
      <c r="E432" s="49" t="s">
        <v>706</v>
      </c>
      <c r="F432" s="49" t="s">
        <v>59</v>
      </c>
      <c r="G432" s="76"/>
      <c r="H432" s="113"/>
      <c r="I432" s="76"/>
      <c r="J432" s="112"/>
      <c r="K432" s="76"/>
      <c r="L432" s="112">
        <v>1098104</v>
      </c>
      <c r="M432" s="76">
        <f>K432+L432</f>
        <v>1098104</v>
      </c>
      <c r="N432" s="113"/>
      <c r="O432" s="76">
        <f>M432+N432</f>
        <v>1098104</v>
      </c>
      <c r="P432" s="113"/>
      <c r="Q432" s="76">
        <f>O432+P432</f>
        <v>1098104</v>
      </c>
      <c r="R432" s="113"/>
      <c r="S432" s="76">
        <f>Q432+R432</f>
        <v>1098104</v>
      </c>
      <c r="T432" s="76">
        <f>R432+S432</f>
        <v>1098104</v>
      </c>
      <c r="U432" s="56">
        <f t="shared" si="19"/>
        <v>100</v>
      </c>
    </row>
    <row r="433" spans="1:21" ht="82.5" customHeight="1">
      <c r="A433" s="99" t="s">
        <v>707</v>
      </c>
      <c r="B433" s="49" t="s">
        <v>136</v>
      </c>
      <c r="C433" s="49" t="s">
        <v>109</v>
      </c>
      <c r="D433" s="49"/>
      <c r="E433" s="49" t="s">
        <v>708</v>
      </c>
      <c r="F433" s="49"/>
      <c r="G433" s="76"/>
      <c r="H433" s="113"/>
      <c r="I433" s="76"/>
      <c r="J433" s="112"/>
      <c r="K433" s="76"/>
      <c r="L433" s="112"/>
      <c r="M433" s="76">
        <f>M434</f>
        <v>833333</v>
      </c>
      <c r="N433" s="113"/>
      <c r="O433" s="76">
        <f>O434</f>
        <v>833333</v>
      </c>
      <c r="P433" s="113"/>
      <c r="Q433" s="76">
        <f>Q434</f>
        <v>833333</v>
      </c>
      <c r="R433" s="113"/>
      <c r="S433" s="76">
        <f>S434</f>
        <v>833333</v>
      </c>
      <c r="T433" s="76">
        <f>T434</f>
        <v>833333</v>
      </c>
      <c r="U433" s="56">
        <f t="shared" si="19"/>
        <v>100</v>
      </c>
    </row>
    <row r="434" spans="1:21" ht="37.5" customHeight="1">
      <c r="A434" s="99" t="s">
        <v>69</v>
      </c>
      <c r="B434" s="49" t="s">
        <v>136</v>
      </c>
      <c r="C434" s="49" t="s">
        <v>109</v>
      </c>
      <c r="D434" s="49"/>
      <c r="E434" s="49" t="s">
        <v>708</v>
      </c>
      <c r="F434" s="49" t="s">
        <v>59</v>
      </c>
      <c r="G434" s="76"/>
      <c r="H434" s="113"/>
      <c r="I434" s="76"/>
      <c r="J434" s="112"/>
      <c r="K434" s="76"/>
      <c r="L434" s="112">
        <v>833333</v>
      </c>
      <c r="M434" s="76">
        <f>K434+L434</f>
        <v>833333</v>
      </c>
      <c r="N434" s="113"/>
      <c r="O434" s="76">
        <f>M434+N434</f>
        <v>833333</v>
      </c>
      <c r="P434" s="113"/>
      <c r="Q434" s="76">
        <f>O434+P434</f>
        <v>833333</v>
      </c>
      <c r="R434" s="113"/>
      <c r="S434" s="76">
        <f>Q434+R434</f>
        <v>833333</v>
      </c>
      <c r="T434" s="76">
        <f>R434+S434</f>
        <v>833333</v>
      </c>
      <c r="U434" s="56">
        <f t="shared" si="19"/>
        <v>100</v>
      </c>
    </row>
    <row r="435" spans="1:21" ht="102" customHeight="1">
      <c r="A435" s="99" t="s">
        <v>724</v>
      </c>
      <c r="B435" s="49" t="s">
        <v>136</v>
      </c>
      <c r="C435" s="49" t="s">
        <v>109</v>
      </c>
      <c r="D435" s="49"/>
      <c r="E435" s="49" t="s">
        <v>723</v>
      </c>
      <c r="F435" s="49"/>
      <c r="G435" s="76"/>
      <c r="H435" s="131"/>
      <c r="I435" s="76"/>
      <c r="J435" s="114"/>
      <c r="K435" s="76">
        <f>K436</f>
        <v>702818</v>
      </c>
      <c r="L435" s="112"/>
      <c r="M435" s="76">
        <f>M436</f>
        <v>702818</v>
      </c>
      <c r="N435" s="113"/>
      <c r="O435" s="76">
        <f>O436</f>
        <v>702818</v>
      </c>
      <c r="P435" s="113"/>
      <c r="Q435" s="76">
        <f>Q436+Q437</f>
        <v>954207</v>
      </c>
      <c r="R435" s="113"/>
      <c r="S435" s="76">
        <f>S436+S437</f>
        <v>954207</v>
      </c>
      <c r="T435" s="76">
        <f>T436+T437</f>
        <v>941754.99</v>
      </c>
      <c r="U435" s="56">
        <f t="shared" si="19"/>
        <v>98.7</v>
      </c>
    </row>
    <row r="436" spans="1:21" ht="37.5" customHeight="1">
      <c r="A436" s="99" t="s">
        <v>68</v>
      </c>
      <c r="B436" s="49" t="s">
        <v>136</v>
      </c>
      <c r="C436" s="49" t="s">
        <v>109</v>
      </c>
      <c r="D436" s="49"/>
      <c r="E436" s="49" t="s">
        <v>723</v>
      </c>
      <c r="F436" s="49" t="s">
        <v>59</v>
      </c>
      <c r="G436" s="76"/>
      <c r="H436" s="131"/>
      <c r="I436" s="76"/>
      <c r="J436" s="114">
        <v>702818</v>
      </c>
      <c r="K436" s="76">
        <f>I436+J436</f>
        <v>702818</v>
      </c>
      <c r="L436" s="112"/>
      <c r="M436" s="76">
        <f>K436+L436</f>
        <v>702818</v>
      </c>
      <c r="N436" s="113"/>
      <c r="O436" s="76">
        <f>M436+N436</f>
        <v>702818</v>
      </c>
      <c r="P436" s="113">
        <v>-228610.99</v>
      </c>
      <c r="Q436" s="76">
        <f>O436+P436</f>
        <v>474207.01</v>
      </c>
      <c r="R436" s="113"/>
      <c r="S436" s="76">
        <f>Q436+R436</f>
        <v>474207.01</v>
      </c>
      <c r="T436" s="76">
        <f>R436+S436</f>
        <v>474207.01</v>
      </c>
      <c r="U436" s="56">
        <f t="shared" si="19"/>
        <v>100</v>
      </c>
    </row>
    <row r="437" spans="1:21" ht="26.25" customHeight="1">
      <c r="A437" s="99" t="s">
        <v>66</v>
      </c>
      <c r="B437" s="49" t="s">
        <v>136</v>
      </c>
      <c r="C437" s="49" t="s">
        <v>109</v>
      </c>
      <c r="D437" s="49"/>
      <c r="E437" s="49" t="s">
        <v>723</v>
      </c>
      <c r="F437" s="49" t="s">
        <v>65</v>
      </c>
      <c r="G437" s="76"/>
      <c r="H437" s="131"/>
      <c r="I437" s="76"/>
      <c r="J437" s="114"/>
      <c r="K437" s="76"/>
      <c r="L437" s="112"/>
      <c r="M437" s="76"/>
      <c r="N437" s="113"/>
      <c r="O437" s="76"/>
      <c r="P437" s="113">
        <v>479999.99</v>
      </c>
      <c r="Q437" s="76">
        <f>O437+P437</f>
        <v>479999.99</v>
      </c>
      <c r="R437" s="113"/>
      <c r="S437" s="76">
        <f>Q437+R437</f>
        <v>479999.99</v>
      </c>
      <c r="T437" s="76">
        <v>467547.98</v>
      </c>
      <c r="U437" s="56">
        <f t="shared" si="19"/>
        <v>97.4</v>
      </c>
    </row>
    <row r="438" spans="1:21" ht="31.5">
      <c r="A438" s="9" t="s">
        <v>154</v>
      </c>
      <c r="B438" s="45" t="s">
        <v>136</v>
      </c>
      <c r="C438" s="45" t="s">
        <v>110</v>
      </c>
      <c r="D438" s="45"/>
      <c r="E438" s="45"/>
      <c r="F438" s="45"/>
      <c r="G438" s="56">
        <f>G439</f>
        <v>12495308</v>
      </c>
      <c r="H438" s="112"/>
      <c r="I438" s="56">
        <f>I439</f>
        <v>12495308</v>
      </c>
      <c r="J438" s="112"/>
      <c r="K438" s="76">
        <f>K439</f>
        <v>14496719.4</v>
      </c>
      <c r="L438" s="112"/>
      <c r="M438" s="76">
        <f>M439</f>
        <v>14496719.4</v>
      </c>
      <c r="N438" s="113"/>
      <c r="O438" s="76">
        <f>O439</f>
        <v>17496719.4</v>
      </c>
      <c r="P438" s="113"/>
      <c r="Q438" s="76">
        <f>Q439</f>
        <v>17496719.4</v>
      </c>
      <c r="R438" s="113"/>
      <c r="S438" s="76">
        <f>S439</f>
        <v>17496719.4</v>
      </c>
      <c r="T438" s="76">
        <f>T439</f>
        <v>14496719.4</v>
      </c>
      <c r="U438" s="56">
        <f t="shared" si="19"/>
        <v>82.9</v>
      </c>
    </row>
    <row r="439" spans="1:21" ht="53.25" customHeight="1">
      <c r="A439" s="9" t="s">
        <v>660</v>
      </c>
      <c r="B439" s="45" t="s">
        <v>136</v>
      </c>
      <c r="C439" s="45" t="s">
        <v>110</v>
      </c>
      <c r="D439" s="45" t="s">
        <v>192</v>
      </c>
      <c r="E439" s="45" t="s">
        <v>408</v>
      </c>
      <c r="F439" s="45"/>
      <c r="G439" s="56">
        <f>G440</f>
        <v>12495308</v>
      </c>
      <c r="H439" s="113"/>
      <c r="I439" s="56">
        <f>I440</f>
        <v>12495308</v>
      </c>
      <c r="J439" s="112"/>
      <c r="K439" s="76">
        <f>K440+K449</f>
        <v>14496719.4</v>
      </c>
      <c r="L439" s="112"/>
      <c r="M439" s="76">
        <f>M440+M449</f>
        <v>14496719.4</v>
      </c>
      <c r="N439" s="113"/>
      <c r="O439" s="76">
        <f>O440+O449</f>
        <v>17496719.4</v>
      </c>
      <c r="P439" s="113"/>
      <c r="Q439" s="76">
        <f>Q440+Q449</f>
        <v>17496719.4</v>
      </c>
      <c r="R439" s="113"/>
      <c r="S439" s="76">
        <f>S440+S449</f>
        <v>17496719.4</v>
      </c>
      <c r="T439" s="76">
        <f>T440+T449</f>
        <v>14496719.4</v>
      </c>
      <c r="U439" s="56">
        <f t="shared" si="19"/>
        <v>82.9</v>
      </c>
    </row>
    <row r="440" spans="1:21" ht="69" customHeight="1">
      <c r="A440" s="9" t="s">
        <v>532</v>
      </c>
      <c r="B440" s="45" t="s">
        <v>136</v>
      </c>
      <c r="C440" s="45" t="s">
        <v>110</v>
      </c>
      <c r="D440" s="45" t="s">
        <v>533</v>
      </c>
      <c r="E440" s="45" t="s">
        <v>430</v>
      </c>
      <c r="F440" s="45"/>
      <c r="G440" s="56">
        <f>G441+G443+G446</f>
        <v>12495308</v>
      </c>
      <c r="H440" s="77"/>
      <c r="I440" s="56">
        <f>I441+I443+I446</f>
        <v>12495308</v>
      </c>
      <c r="J440" s="77"/>
      <c r="K440" s="76">
        <f>K441+K443+K446</f>
        <v>12862532.66</v>
      </c>
      <c r="L440" s="77"/>
      <c r="M440" s="76">
        <f>M441+M443+M446</f>
        <v>12862532.66</v>
      </c>
      <c r="N440" s="117"/>
      <c r="O440" s="76">
        <f>O441+O443+O446</f>
        <v>12862532.66</v>
      </c>
      <c r="P440" s="113"/>
      <c r="Q440" s="76">
        <f>Q441+Q443+Q446</f>
        <v>12862532.66</v>
      </c>
      <c r="R440" s="113"/>
      <c r="S440" s="76">
        <f>S441+S443+S446</f>
        <v>12862532.66</v>
      </c>
      <c r="T440" s="76">
        <f>T441+T443+T446</f>
        <v>12862532.66</v>
      </c>
      <c r="U440" s="56">
        <f t="shared" si="19"/>
        <v>100</v>
      </c>
    </row>
    <row r="441" spans="1:21" ht="48" customHeight="1">
      <c r="A441" s="105" t="s">
        <v>534</v>
      </c>
      <c r="B441" s="106" t="s">
        <v>136</v>
      </c>
      <c r="C441" s="106" t="s">
        <v>110</v>
      </c>
      <c r="D441" s="106" t="s">
        <v>535</v>
      </c>
      <c r="E441" s="106" t="s">
        <v>431</v>
      </c>
      <c r="F441" s="106"/>
      <c r="G441" s="56">
        <f>G442</f>
        <v>1759408</v>
      </c>
      <c r="H441" s="117"/>
      <c r="I441" s="56">
        <f>I442</f>
        <v>1759408</v>
      </c>
      <c r="J441" s="77"/>
      <c r="K441" s="76">
        <f>K442</f>
        <v>2009408</v>
      </c>
      <c r="L441" s="77"/>
      <c r="M441" s="76">
        <f>M442</f>
        <v>2009408</v>
      </c>
      <c r="N441" s="117"/>
      <c r="O441" s="76">
        <f>O442</f>
        <v>2009408</v>
      </c>
      <c r="P441" s="113"/>
      <c r="Q441" s="76">
        <f>Q442</f>
        <v>2009408</v>
      </c>
      <c r="R441" s="113"/>
      <c r="S441" s="76">
        <f>S442</f>
        <v>2009408</v>
      </c>
      <c r="T441" s="76">
        <f>T442</f>
        <v>2009408</v>
      </c>
      <c r="U441" s="56">
        <f t="shared" si="19"/>
        <v>100</v>
      </c>
    </row>
    <row r="442" spans="1:21" ht="20.25" customHeight="1">
      <c r="A442" s="97" t="s">
        <v>66</v>
      </c>
      <c r="B442" s="106" t="s">
        <v>136</v>
      </c>
      <c r="C442" s="106" t="s">
        <v>110</v>
      </c>
      <c r="D442" s="106"/>
      <c r="E442" s="106" t="s">
        <v>431</v>
      </c>
      <c r="F442" s="106" t="s">
        <v>65</v>
      </c>
      <c r="G442" s="76">
        <v>1759408</v>
      </c>
      <c r="H442" s="77"/>
      <c r="I442" s="76">
        <f>G442+H442</f>
        <v>1759408</v>
      </c>
      <c r="J442" s="77">
        <v>250000</v>
      </c>
      <c r="K442" s="76">
        <f>I442+J442</f>
        <v>2009408</v>
      </c>
      <c r="L442" s="77"/>
      <c r="M442" s="76">
        <f>K442+L442</f>
        <v>2009408</v>
      </c>
      <c r="N442" s="117"/>
      <c r="O442" s="76">
        <f>M442+N442</f>
        <v>2009408</v>
      </c>
      <c r="P442" s="113"/>
      <c r="Q442" s="76">
        <f>O442+P442</f>
        <v>2009408</v>
      </c>
      <c r="R442" s="113"/>
      <c r="S442" s="76">
        <f>Q442+R442</f>
        <v>2009408</v>
      </c>
      <c r="T442" s="76">
        <f>R442+S442</f>
        <v>2009408</v>
      </c>
      <c r="U442" s="56">
        <f t="shared" si="19"/>
        <v>100</v>
      </c>
    </row>
    <row r="443" spans="1:21" ht="31.5" customHeight="1">
      <c r="A443" s="107" t="s">
        <v>536</v>
      </c>
      <c r="B443" s="106" t="s">
        <v>136</v>
      </c>
      <c r="C443" s="106" t="s">
        <v>110</v>
      </c>
      <c r="D443" s="106" t="s">
        <v>537</v>
      </c>
      <c r="E443" s="106" t="s">
        <v>432</v>
      </c>
      <c r="F443" s="106"/>
      <c r="G443" s="56">
        <f>G444+G445</f>
        <v>8255900</v>
      </c>
      <c r="H443" s="117"/>
      <c r="I443" s="56">
        <f>I444+I445</f>
        <v>8255900</v>
      </c>
      <c r="J443" s="77"/>
      <c r="K443" s="76">
        <f>K444+K445</f>
        <v>8255900</v>
      </c>
      <c r="L443" s="77"/>
      <c r="M443" s="76">
        <f>M444+M445</f>
        <v>8255900</v>
      </c>
      <c r="N443" s="117"/>
      <c r="O443" s="76">
        <f>O444+O445</f>
        <v>8255900</v>
      </c>
      <c r="P443" s="113"/>
      <c r="Q443" s="76">
        <f>Q444+Q445</f>
        <v>8255900</v>
      </c>
      <c r="R443" s="113"/>
      <c r="S443" s="76">
        <f>S444+S445</f>
        <v>8255900</v>
      </c>
      <c r="T443" s="76">
        <f>T444+T445</f>
        <v>8255900</v>
      </c>
      <c r="U443" s="56">
        <f t="shared" si="19"/>
        <v>100</v>
      </c>
    </row>
    <row r="444" spans="1:21" ht="37.5" customHeight="1">
      <c r="A444" s="99" t="s">
        <v>68</v>
      </c>
      <c r="B444" s="106" t="s">
        <v>136</v>
      </c>
      <c r="C444" s="106" t="s">
        <v>110</v>
      </c>
      <c r="D444" s="106"/>
      <c r="E444" s="106" t="s">
        <v>432</v>
      </c>
      <c r="F444" s="106" t="s">
        <v>59</v>
      </c>
      <c r="G444" s="76">
        <v>2372150</v>
      </c>
      <c r="H444" s="77"/>
      <c r="I444" s="76">
        <f>G444+H444</f>
        <v>2372150</v>
      </c>
      <c r="J444" s="77"/>
      <c r="K444" s="76">
        <f>I444+J444</f>
        <v>2372150</v>
      </c>
      <c r="L444" s="77"/>
      <c r="M444" s="76">
        <f>K444+L444</f>
        <v>2372150</v>
      </c>
      <c r="N444" s="117"/>
      <c r="O444" s="76">
        <f>M444+N444</f>
        <v>2372150</v>
      </c>
      <c r="P444" s="113"/>
      <c r="Q444" s="76">
        <f>O444+P444</f>
        <v>2372150</v>
      </c>
      <c r="R444" s="113"/>
      <c r="S444" s="76">
        <f>Q444+R444</f>
        <v>2372150</v>
      </c>
      <c r="T444" s="76">
        <v>2372150</v>
      </c>
      <c r="U444" s="56">
        <f t="shared" si="19"/>
        <v>100</v>
      </c>
    </row>
    <row r="445" spans="1:21" s="1" customFormat="1" ht="26.25" customHeight="1">
      <c r="A445" s="97" t="s">
        <v>66</v>
      </c>
      <c r="B445" s="106" t="s">
        <v>136</v>
      </c>
      <c r="C445" s="49" t="s">
        <v>110</v>
      </c>
      <c r="D445" s="49"/>
      <c r="E445" s="106" t="s">
        <v>432</v>
      </c>
      <c r="F445" s="49" t="s">
        <v>65</v>
      </c>
      <c r="G445" s="76">
        <v>5883750</v>
      </c>
      <c r="H445" s="77"/>
      <c r="I445" s="76">
        <f>G445+H445</f>
        <v>5883750</v>
      </c>
      <c r="J445" s="77"/>
      <c r="K445" s="76">
        <f>I445+J445</f>
        <v>5883750</v>
      </c>
      <c r="L445" s="77"/>
      <c r="M445" s="76">
        <f>K445+L445</f>
        <v>5883750</v>
      </c>
      <c r="N445" s="117"/>
      <c r="O445" s="76">
        <f>M445+N445</f>
        <v>5883750</v>
      </c>
      <c r="P445" s="117"/>
      <c r="Q445" s="76">
        <f>O445+P445</f>
        <v>5883750</v>
      </c>
      <c r="R445" s="117"/>
      <c r="S445" s="76">
        <f>Q445+R445</f>
        <v>5883750</v>
      </c>
      <c r="T445" s="76">
        <f>R445+S445</f>
        <v>5883750</v>
      </c>
      <c r="U445" s="56">
        <f t="shared" si="19"/>
        <v>100</v>
      </c>
    </row>
    <row r="446" spans="1:21" s="1" customFormat="1" ht="48.75" customHeight="1">
      <c r="A446" s="108" t="s">
        <v>538</v>
      </c>
      <c r="B446" s="106" t="s">
        <v>136</v>
      </c>
      <c r="C446" s="106" t="s">
        <v>110</v>
      </c>
      <c r="D446" s="49" t="s">
        <v>540</v>
      </c>
      <c r="E446" s="49" t="s">
        <v>433</v>
      </c>
      <c r="F446" s="49"/>
      <c r="G446" s="56">
        <f>G447+G448</f>
        <v>2480000</v>
      </c>
      <c r="H446" s="112"/>
      <c r="I446" s="56">
        <f>I447+I448</f>
        <v>2480000</v>
      </c>
      <c r="J446" s="112"/>
      <c r="K446" s="76">
        <f>K447+K448</f>
        <v>2597224.66</v>
      </c>
      <c r="L446" s="112"/>
      <c r="M446" s="76">
        <f>M447+M448</f>
        <v>2597224.66</v>
      </c>
      <c r="N446" s="113"/>
      <c r="O446" s="76">
        <f>O447+O448</f>
        <v>2597224.66</v>
      </c>
      <c r="P446" s="117"/>
      <c r="Q446" s="76">
        <f>Q447+Q448</f>
        <v>2597224.66</v>
      </c>
      <c r="R446" s="117"/>
      <c r="S446" s="76">
        <f>S447+S448</f>
        <v>2597224.66</v>
      </c>
      <c r="T446" s="76">
        <f>T447+T448</f>
        <v>2597224.66</v>
      </c>
      <c r="U446" s="56">
        <f t="shared" si="19"/>
        <v>100</v>
      </c>
    </row>
    <row r="447" spans="1:21" s="1" customFormat="1" ht="30" customHeight="1">
      <c r="A447" s="99" t="s">
        <v>69</v>
      </c>
      <c r="B447" s="106" t="s">
        <v>136</v>
      </c>
      <c r="C447" s="106" t="s">
        <v>110</v>
      </c>
      <c r="D447" s="49"/>
      <c r="E447" s="49" t="s">
        <v>433</v>
      </c>
      <c r="F447" s="49" t="s">
        <v>59</v>
      </c>
      <c r="G447" s="76">
        <v>1250018</v>
      </c>
      <c r="H447" s="112"/>
      <c r="I447" s="76">
        <f>G447+H447</f>
        <v>1250018</v>
      </c>
      <c r="J447" s="112">
        <v>274341.66</v>
      </c>
      <c r="K447" s="76">
        <f>I447+J447</f>
        <v>1524359.66</v>
      </c>
      <c r="L447" s="112"/>
      <c r="M447" s="76">
        <f>K447+L447</f>
        <v>1524359.66</v>
      </c>
      <c r="N447" s="113"/>
      <c r="O447" s="76">
        <f>M447+N447</f>
        <v>1524359.66</v>
      </c>
      <c r="P447" s="117"/>
      <c r="Q447" s="76">
        <f>O447+P447</f>
        <v>1524359.66</v>
      </c>
      <c r="R447" s="117"/>
      <c r="S447" s="76">
        <f>Q447+R447</f>
        <v>1524359.66</v>
      </c>
      <c r="T447" s="76">
        <f>R447+S447</f>
        <v>1524359.66</v>
      </c>
      <c r="U447" s="56">
        <f t="shared" si="19"/>
        <v>100</v>
      </c>
    </row>
    <row r="448" spans="1:21" s="1" customFormat="1" ht="18" customHeight="1">
      <c r="A448" s="97" t="s">
        <v>66</v>
      </c>
      <c r="B448" s="106" t="s">
        <v>136</v>
      </c>
      <c r="C448" s="49" t="s">
        <v>110</v>
      </c>
      <c r="D448" s="49"/>
      <c r="E448" s="49" t="s">
        <v>433</v>
      </c>
      <c r="F448" s="49" t="s">
        <v>65</v>
      </c>
      <c r="G448" s="76">
        <v>1229982</v>
      </c>
      <c r="H448" s="113"/>
      <c r="I448" s="76">
        <f>G448+H448</f>
        <v>1229982</v>
      </c>
      <c r="J448" s="112">
        <v>-157117</v>
      </c>
      <c r="K448" s="76">
        <f>I448+J448</f>
        <v>1072865</v>
      </c>
      <c r="L448" s="112"/>
      <c r="M448" s="76">
        <f>K448+L448</f>
        <v>1072865</v>
      </c>
      <c r="N448" s="113"/>
      <c r="O448" s="76">
        <f>M448+N448</f>
        <v>1072865</v>
      </c>
      <c r="P448" s="117"/>
      <c r="Q448" s="76">
        <f>O448+P448</f>
        <v>1072865</v>
      </c>
      <c r="R448" s="117"/>
      <c r="S448" s="76">
        <f>Q448+R448</f>
        <v>1072865</v>
      </c>
      <c r="T448" s="76">
        <f>R448+S448</f>
        <v>1072865</v>
      </c>
      <c r="U448" s="56">
        <f t="shared" si="19"/>
        <v>100</v>
      </c>
    </row>
    <row r="449" spans="1:21" s="1" customFormat="1" ht="84.75" customHeight="1">
      <c r="A449" s="9" t="s">
        <v>15</v>
      </c>
      <c r="B449" s="106" t="s">
        <v>136</v>
      </c>
      <c r="C449" s="49" t="s">
        <v>110</v>
      </c>
      <c r="D449" s="49"/>
      <c r="E449" s="45" t="s">
        <v>419</v>
      </c>
      <c r="F449" s="49"/>
      <c r="G449" s="76"/>
      <c r="H449" s="113"/>
      <c r="I449" s="76"/>
      <c r="J449" s="112"/>
      <c r="K449" s="76">
        <f>K450+K452</f>
        <v>1634186.74</v>
      </c>
      <c r="L449" s="112"/>
      <c r="M449" s="76">
        <f>M450+M452</f>
        <v>1634186.74</v>
      </c>
      <c r="N449" s="113"/>
      <c r="O449" s="76">
        <f>O450+O452</f>
        <v>4634186.74</v>
      </c>
      <c r="P449" s="117"/>
      <c r="Q449" s="76">
        <f>Q450+Q452</f>
        <v>4634186.74</v>
      </c>
      <c r="R449" s="117"/>
      <c r="S449" s="76">
        <f>S450+S452</f>
        <v>4634186.74</v>
      </c>
      <c r="T449" s="76">
        <f>T450+T452</f>
        <v>1634186.74</v>
      </c>
      <c r="U449" s="56">
        <f t="shared" si="19"/>
        <v>35.3</v>
      </c>
    </row>
    <row r="450" spans="1:21" s="1" customFormat="1" ht="66" customHeight="1">
      <c r="A450" s="9" t="s">
        <v>17</v>
      </c>
      <c r="B450" s="106" t="s">
        <v>136</v>
      </c>
      <c r="C450" s="49" t="s">
        <v>110</v>
      </c>
      <c r="D450" s="49"/>
      <c r="E450" s="45" t="s">
        <v>16</v>
      </c>
      <c r="F450" s="49"/>
      <c r="G450" s="76"/>
      <c r="H450" s="113"/>
      <c r="I450" s="76"/>
      <c r="J450" s="112"/>
      <c r="K450" s="76">
        <f>K451</f>
        <v>817286.74</v>
      </c>
      <c r="L450" s="112"/>
      <c r="M450" s="76">
        <f>M451</f>
        <v>817286.74</v>
      </c>
      <c r="N450" s="113"/>
      <c r="O450" s="76">
        <f>O451</f>
        <v>3817286.74</v>
      </c>
      <c r="P450" s="117"/>
      <c r="Q450" s="76">
        <f>Q451</f>
        <v>3817286.74</v>
      </c>
      <c r="R450" s="117"/>
      <c r="S450" s="76">
        <f>S451</f>
        <v>3817286.74</v>
      </c>
      <c r="T450" s="76">
        <f>T451</f>
        <v>817286.74</v>
      </c>
      <c r="U450" s="56">
        <f t="shared" si="19"/>
        <v>21.4</v>
      </c>
    </row>
    <row r="451" spans="1:21" s="1" customFormat="1" ht="20.25" customHeight="1">
      <c r="A451" s="103" t="s">
        <v>66</v>
      </c>
      <c r="B451" s="106" t="s">
        <v>136</v>
      </c>
      <c r="C451" s="49" t="s">
        <v>110</v>
      </c>
      <c r="D451" s="49"/>
      <c r="E451" s="45" t="s">
        <v>16</v>
      </c>
      <c r="F451" s="49" t="s">
        <v>65</v>
      </c>
      <c r="G451" s="76"/>
      <c r="H451" s="113"/>
      <c r="I451" s="76"/>
      <c r="J451" s="112">
        <v>817286.74</v>
      </c>
      <c r="K451" s="76">
        <f>I451+J451</f>
        <v>817286.74</v>
      </c>
      <c r="L451" s="112"/>
      <c r="M451" s="76">
        <f>K451+L451</f>
        <v>817286.74</v>
      </c>
      <c r="N451" s="113">
        <v>3000000</v>
      </c>
      <c r="O451" s="76">
        <f>M451+N451</f>
        <v>3817286.74</v>
      </c>
      <c r="P451" s="117"/>
      <c r="Q451" s="76">
        <f>O451+P451</f>
        <v>3817286.74</v>
      </c>
      <c r="R451" s="117"/>
      <c r="S451" s="76">
        <f>Q451+R451</f>
        <v>3817286.74</v>
      </c>
      <c r="T451" s="76">
        <v>817286.74</v>
      </c>
      <c r="U451" s="56">
        <f t="shared" si="19"/>
        <v>21.4</v>
      </c>
    </row>
    <row r="452" spans="1:21" s="1" customFormat="1" ht="97.5" customHeight="1">
      <c r="A452" s="103" t="s">
        <v>18</v>
      </c>
      <c r="B452" s="106" t="s">
        <v>136</v>
      </c>
      <c r="C452" s="49" t="s">
        <v>110</v>
      </c>
      <c r="D452" s="49"/>
      <c r="E452" s="45" t="s">
        <v>19</v>
      </c>
      <c r="F452" s="49"/>
      <c r="G452" s="76"/>
      <c r="H452" s="113"/>
      <c r="I452" s="76"/>
      <c r="J452" s="112"/>
      <c r="K452" s="76">
        <f>K453</f>
        <v>816900</v>
      </c>
      <c r="L452" s="112"/>
      <c r="M452" s="76">
        <f>M453</f>
        <v>816900</v>
      </c>
      <c r="N452" s="113"/>
      <c r="O452" s="76">
        <f>O453</f>
        <v>816900</v>
      </c>
      <c r="P452" s="117"/>
      <c r="Q452" s="76">
        <f>Q453</f>
        <v>816900</v>
      </c>
      <c r="R452" s="117"/>
      <c r="S452" s="76">
        <f>S453</f>
        <v>816900</v>
      </c>
      <c r="T452" s="76">
        <f>T453</f>
        <v>816900</v>
      </c>
      <c r="U452" s="56">
        <f t="shared" si="19"/>
        <v>100</v>
      </c>
    </row>
    <row r="453" spans="1:21" s="1" customFormat="1" ht="20.25" customHeight="1">
      <c r="A453" s="103" t="s">
        <v>66</v>
      </c>
      <c r="B453" s="106" t="s">
        <v>136</v>
      </c>
      <c r="C453" s="49" t="s">
        <v>110</v>
      </c>
      <c r="D453" s="49"/>
      <c r="E453" s="45" t="s">
        <v>19</v>
      </c>
      <c r="F453" s="49" t="s">
        <v>65</v>
      </c>
      <c r="G453" s="76"/>
      <c r="H453" s="113"/>
      <c r="I453" s="76"/>
      <c r="J453" s="112">
        <v>816900</v>
      </c>
      <c r="K453" s="76">
        <f>I453+J453</f>
        <v>816900</v>
      </c>
      <c r="L453" s="112"/>
      <c r="M453" s="76">
        <f>K453+L453</f>
        <v>816900</v>
      </c>
      <c r="N453" s="113"/>
      <c r="O453" s="76">
        <f>M453+N453</f>
        <v>816900</v>
      </c>
      <c r="P453" s="117"/>
      <c r="Q453" s="76">
        <f>O453+P453</f>
        <v>816900</v>
      </c>
      <c r="R453" s="117"/>
      <c r="S453" s="76">
        <f>Q453+R453</f>
        <v>816900</v>
      </c>
      <c r="T453" s="76">
        <f>R453+S453</f>
        <v>816900</v>
      </c>
      <c r="U453" s="56">
        <f t="shared" si="19"/>
        <v>100</v>
      </c>
    </row>
    <row r="454" spans="1:21" ht="29.25" customHeight="1">
      <c r="A454" s="9" t="s">
        <v>155</v>
      </c>
      <c r="B454" s="45" t="s">
        <v>136</v>
      </c>
      <c r="C454" s="45" t="s">
        <v>111</v>
      </c>
      <c r="D454" s="45"/>
      <c r="E454" s="45"/>
      <c r="F454" s="45"/>
      <c r="G454" s="56">
        <f>G455</f>
        <v>10686418</v>
      </c>
      <c r="H454" s="115"/>
      <c r="I454" s="56">
        <f>I455</f>
        <v>10694668</v>
      </c>
      <c r="J454" s="116"/>
      <c r="K454" s="76">
        <f>K455</f>
        <v>10694668</v>
      </c>
      <c r="L454" s="115"/>
      <c r="M454" s="76">
        <f>M455</f>
        <v>10388357</v>
      </c>
      <c r="N454" s="116"/>
      <c r="O454" s="76">
        <f>O455</f>
        <v>10387431.129999999</v>
      </c>
      <c r="P454" s="113"/>
      <c r="Q454" s="76">
        <f>Q455</f>
        <v>10146042.129999999</v>
      </c>
      <c r="R454" s="113"/>
      <c r="S454" s="76">
        <f>S455</f>
        <v>9325242.129999999</v>
      </c>
      <c r="T454" s="76">
        <f>T455</f>
        <v>8863937.42</v>
      </c>
      <c r="U454" s="56">
        <f t="shared" si="19"/>
        <v>95.1</v>
      </c>
    </row>
    <row r="455" spans="1:21" ht="46.5" customHeight="1">
      <c r="A455" s="9" t="s">
        <v>660</v>
      </c>
      <c r="B455" s="49" t="s">
        <v>136</v>
      </c>
      <c r="C455" s="49" t="s">
        <v>111</v>
      </c>
      <c r="D455" s="49" t="s">
        <v>192</v>
      </c>
      <c r="E455" s="49" t="s">
        <v>408</v>
      </c>
      <c r="F455" s="49"/>
      <c r="G455" s="56">
        <f>G456</f>
        <v>10686418</v>
      </c>
      <c r="H455" s="115"/>
      <c r="I455" s="56">
        <f>I456</f>
        <v>10694668</v>
      </c>
      <c r="J455" s="115"/>
      <c r="K455" s="76">
        <f>K456</f>
        <v>10694668</v>
      </c>
      <c r="L455" s="115"/>
      <c r="M455" s="76">
        <f>M456</f>
        <v>10388357</v>
      </c>
      <c r="N455" s="116"/>
      <c r="O455" s="76">
        <f>O456</f>
        <v>10387431.129999999</v>
      </c>
      <c r="P455" s="113"/>
      <c r="Q455" s="76">
        <f>Q456</f>
        <v>10146042.129999999</v>
      </c>
      <c r="R455" s="113"/>
      <c r="S455" s="76">
        <f>S456</f>
        <v>9325242.129999999</v>
      </c>
      <c r="T455" s="76">
        <f>T456</f>
        <v>8863937.42</v>
      </c>
      <c r="U455" s="56">
        <f t="shared" si="19"/>
        <v>95.1</v>
      </c>
    </row>
    <row r="456" spans="1:21" ht="94.5">
      <c r="A456" s="9" t="s">
        <v>545</v>
      </c>
      <c r="B456" s="49" t="s">
        <v>136</v>
      </c>
      <c r="C456" s="49" t="s">
        <v>111</v>
      </c>
      <c r="D456" s="49" t="s">
        <v>546</v>
      </c>
      <c r="E456" s="49" t="s">
        <v>434</v>
      </c>
      <c r="F456" s="49"/>
      <c r="G456" s="56">
        <f>G457+G460+G466</f>
        <v>10686418</v>
      </c>
      <c r="H456" s="116"/>
      <c r="I456" s="56">
        <f>I457+I460+I466+I464</f>
        <v>10694668</v>
      </c>
      <c r="J456" s="115"/>
      <c r="K456" s="76">
        <f>K457+K460+K466+K464</f>
        <v>10694668</v>
      </c>
      <c r="L456" s="115"/>
      <c r="M456" s="76">
        <f>M457+M460+M466+M464</f>
        <v>10388357</v>
      </c>
      <c r="N456" s="116"/>
      <c r="O456" s="76">
        <f>O457+O460+O466+O464</f>
        <v>10387431.129999999</v>
      </c>
      <c r="P456" s="113"/>
      <c r="Q456" s="76">
        <f>Q457+Q460+Q466+Q464</f>
        <v>10146042.129999999</v>
      </c>
      <c r="R456" s="113"/>
      <c r="S456" s="76">
        <f>S457+S460+S466+S464</f>
        <v>9325242.129999999</v>
      </c>
      <c r="T456" s="76">
        <f>T457+T460+T466+T464</f>
        <v>8863937.42</v>
      </c>
      <c r="U456" s="56">
        <f t="shared" si="19"/>
        <v>95.1</v>
      </c>
    </row>
    <row r="457" spans="1:21" ht="78" customHeight="1">
      <c r="A457" s="37" t="s">
        <v>552</v>
      </c>
      <c r="B457" s="49">
        <v>906</v>
      </c>
      <c r="C457" s="49" t="s">
        <v>111</v>
      </c>
      <c r="D457" s="49" t="s">
        <v>553</v>
      </c>
      <c r="E457" s="49" t="s">
        <v>435</v>
      </c>
      <c r="F457" s="49"/>
      <c r="G457" s="67">
        <f>G458+G459</f>
        <v>8164048</v>
      </c>
      <c r="H457" s="112"/>
      <c r="I457" s="67">
        <f>I458+I459</f>
        <v>7980248</v>
      </c>
      <c r="J457" s="112"/>
      <c r="K457" s="109">
        <f>K458+K459</f>
        <v>7976998</v>
      </c>
      <c r="L457" s="112"/>
      <c r="M457" s="109">
        <f>M458+M459</f>
        <v>7676155</v>
      </c>
      <c r="N457" s="113"/>
      <c r="O457" s="109">
        <f>O458+O459</f>
        <v>7675229.13</v>
      </c>
      <c r="P457" s="113"/>
      <c r="Q457" s="109">
        <f>Q458+Q459</f>
        <v>7685229.13</v>
      </c>
      <c r="R457" s="113"/>
      <c r="S457" s="109">
        <f>S458+S459</f>
        <v>7159229.13</v>
      </c>
      <c r="T457" s="109">
        <f>T458+T459</f>
        <v>6830851.01</v>
      </c>
      <c r="U457" s="56">
        <f t="shared" si="19"/>
        <v>95.4</v>
      </c>
    </row>
    <row r="458" spans="1:21" ht="35.25" customHeight="1">
      <c r="A458" s="97" t="s">
        <v>58</v>
      </c>
      <c r="B458" s="49" t="s">
        <v>136</v>
      </c>
      <c r="C458" s="49" t="s">
        <v>111</v>
      </c>
      <c r="D458" s="49"/>
      <c r="E458" s="49" t="s">
        <v>435</v>
      </c>
      <c r="F458" s="49" t="s">
        <v>57</v>
      </c>
      <c r="G458" s="109">
        <v>6841577</v>
      </c>
      <c r="H458" s="112">
        <v>-195300</v>
      </c>
      <c r="I458" s="109">
        <f>G458+H458</f>
        <v>6646277</v>
      </c>
      <c r="J458" s="112">
        <v>-165000</v>
      </c>
      <c r="K458" s="109">
        <f>I458+J458</f>
        <v>6481277</v>
      </c>
      <c r="L458" s="112">
        <v>-283700</v>
      </c>
      <c r="M458" s="109">
        <f>K458+L458</f>
        <v>6197577</v>
      </c>
      <c r="N458" s="113"/>
      <c r="O458" s="109">
        <f>M458+N458</f>
        <v>6197577</v>
      </c>
      <c r="P458" s="113"/>
      <c r="Q458" s="109">
        <f>O458+P458</f>
        <v>6197577</v>
      </c>
      <c r="R458" s="113">
        <v>-343000</v>
      </c>
      <c r="S458" s="109">
        <f>Q458+R458</f>
        <v>5854577</v>
      </c>
      <c r="T458" s="109">
        <v>5715947.16</v>
      </c>
      <c r="U458" s="56">
        <f t="shared" si="19"/>
        <v>97.6</v>
      </c>
    </row>
    <row r="459" spans="1:21" s="7" customFormat="1" ht="31.5">
      <c r="A459" s="99" t="s">
        <v>68</v>
      </c>
      <c r="B459" s="49" t="s">
        <v>136</v>
      </c>
      <c r="C459" s="49" t="s">
        <v>111</v>
      </c>
      <c r="D459" s="49"/>
      <c r="E459" s="49" t="s">
        <v>435</v>
      </c>
      <c r="F459" s="49" t="s">
        <v>59</v>
      </c>
      <c r="G459" s="76">
        <v>1322471</v>
      </c>
      <c r="H459" s="115">
        <v>11500</v>
      </c>
      <c r="I459" s="109">
        <f>G459+H459</f>
        <v>1333971</v>
      </c>
      <c r="J459" s="115">
        <v>161750</v>
      </c>
      <c r="K459" s="109">
        <f>I459+J459</f>
        <v>1495721</v>
      </c>
      <c r="L459" s="133">
        <v>-17143</v>
      </c>
      <c r="M459" s="109">
        <f>K459+L459</f>
        <v>1478578</v>
      </c>
      <c r="N459" s="116">
        <v>-925.87</v>
      </c>
      <c r="O459" s="109">
        <f>M459+N459</f>
        <v>1477652.13</v>
      </c>
      <c r="P459" s="116">
        <v>10000</v>
      </c>
      <c r="Q459" s="109">
        <f>O459+P459</f>
        <v>1487652.13</v>
      </c>
      <c r="R459" s="116">
        <v>-183000</v>
      </c>
      <c r="S459" s="109">
        <f>Q459+R459</f>
        <v>1304652.13</v>
      </c>
      <c r="T459" s="109">
        <v>1114903.85</v>
      </c>
      <c r="U459" s="56">
        <f t="shared" si="19"/>
        <v>85.5</v>
      </c>
    </row>
    <row r="460" spans="1:21" ht="47.25">
      <c r="A460" s="37" t="s">
        <v>554</v>
      </c>
      <c r="B460" s="49">
        <v>906</v>
      </c>
      <c r="C460" s="49" t="s">
        <v>111</v>
      </c>
      <c r="D460" s="49" t="s">
        <v>662</v>
      </c>
      <c r="E460" s="49" t="s">
        <v>436</v>
      </c>
      <c r="F460" s="49"/>
      <c r="G460" s="67">
        <f>G461+G462</f>
        <v>2222370</v>
      </c>
      <c r="H460" s="112"/>
      <c r="I460" s="67">
        <f>I461+I462</f>
        <v>2221370</v>
      </c>
      <c r="J460" s="112"/>
      <c r="K460" s="109">
        <f>K461+K462</f>
        <v>2221370</v>
      </c>
      <c r="L460" s="112"/>
      <c r="M460" s="109">
        <f>M461+M462</f>
        <v>2221370</v>
      </c>
      <c r="N460" s="113"/>
      <c r="O460" s="109">
        <f>O461+O462</f>
        <v>2221370</v>
      </c>
      <c r="P460" s="113"/>
      <c r="Q460" s="109">
        <f>Q461+Q462</f>
        <v>1969981</v>
      </c>
      <c r="R460" s="113"/>
      <c r="S460" s="109">
        <f>S461+S462+S463</f>
        <v>1637981</v>
      </c>
      <c r="T460" s="109">
        <f>T461+T462+T463</f>
        <v>1564342.29</v>
      </c>
      <c r="U460" s="56">
        <f t="shared" si="19"/>
        <v>95.5</v>
      </c>
    </row>
    <row r="461" spans="1:21" ht="36" customHeight="1">
      <c r="A461" s="97" t="s">
        <v>70</v>
      </c>
      <c r="B461" s="49" t="s">
        <v>136</v>
      </c>
      <c r="C461" s="49" t="s">
        <v>111</v>
      </c>
      <c r="D461" s="49"/>
      <c r="E461" s="49" t="s">
        <v>436</v>
      </c>
      <c r="F461" s="49" t="s">
        <v>67</v>
      </c>
      <c r="G461" s="109">
        <v>2142870</v>
      </c>
      <c r="H461" s="112">
        <v>-1000</v>
      </c>
      <c r="I461" s="109">
        <f>G461+H461</f>
        <v>2141870</v>
      </c>
      <c r="J461" s="112"/>
      <c r="K461" s="109">
        <f>I461+J461</f>
        <v>2141870</v>
      </c>
      <c r="L461" s="112"/>
      <c r="M461" s="109">
        <f>K461+L461</f>
        <v>2141870</v>
      </c>
      <c r="N461" s="113"/>
      <c r="O461" s="109">
        <f>M461+N461</f>
        <v>2141870</v>
      </c>
      <c r="P461" s="113">
        <v>-251389</v>
      </c>
      <c r="Q461" s="109">
        <f>O461+P461</f>
        <v>1890481</v>
      </c>
      <c r="R461" s="113">
        <v>-325000</v>
      </c>
      <c r="S461" s="109">
        <f>Q461+R461</f>
        <v>1565481</v>
      </c>
      <c r="T461" s="109">
        <v>1502283.29</v>
      </c>
      <c r="U461" s="56">
        <f aca="true" t="shared" si="20" ref="U461:U524">IF(S461=0,"-",IF(T461/S461*100&gt;110,"свыше 100",ROUND((T461/S461*100),1)))</f>
        <v>96</v>
      </c>
    </row>
    <row r="462" spans="1:21" s="7" customFormat="1" ht="31.5">
      <c r="A462" s="99" t="s">
        <v>69</v>
      </c>
      <c r="B462" s="49" t="s">
        <v>136</v>
      </c>
      <c r="C462" s="49" t="s">
        <v>111</v>
      </c>
      <c r="D462" s="49"/>
      <c r="E462" s="49" t="s">
        <v>436</v>
      </c>
      <c r="F462" s="49" t="s">
        <v>59</v>
      </c>
      <c r="G462" s="76">
        <v>79500</v>
      </c>
      <c r="H462" s="112"/>
      <c r="I462" s="109">
        <f>G462+H462</f>
        <v>79500</v>
      </c>
      <c r="J462" s="114"/>
      <c r="K462" s="109">
        <f>I462+J462</f>
        <v>79500</v>
      </c>
      <c r="L462" s="112"/>
      <c r="M462" s="109">
        <f>K462+L462</f>
        <v>79500</v>
      </c>
      <c r="N462" s="113"/>
      <c r="O462" s="109">
        <f>M462+N462</f>
        <v>79500</v>
      </c>
      <c r="P462" s="116"/>
      <c r="Q462" s="109">
        <f>O462+P462</f>
        <v>79500</v>
      </c>
      <c r="R462" s="116">
        <v>-8000</v>
      </c>
      <c r="S462" s="109">
        <f>Q462+R462</f>
        <v>71500</v>
      </c>
      <c r="T462" s="109">
        <v>61859</v>
      </c>
      <c r="U462" s="56">
        <f t="shared" si="20"/>
        <v>86.5</v>
      </c>
    </row>
    <row r="463" spans="1:21" s="7" customFormat="1" ht="32.25" customHeight="1">
      <c r="A463" s="103" t="s">
        <v>62</v>
      </c>
      <c r="B463" s="49"/>
      <c r="C463" s="49"/>
      <c r="D463" s="49"/>
      <c r="E463" s="49"/>
      <c r="F463" s="49" t="s">
        <v>61</v>
      </c>
      <c r="G463" s="76"/>
      <c r="H463" s="112"/>
      <c r="I463" s="109"/>
      <c r="J463" s="114"/>
      <c r="K463" s="109"/>
      <c r="L463" s="112"/>
      <c r="M463" s="109"/>
      <c r="N463" s="113"/>
      <c r="O463" s="109"/>
      <c r="P463" s="116"/>
      <c r="Q463" s="109"/>
      <c r="R463" s="116">
        <v>1000</v>
      </c>
      <c r="S463" s="109">
        <f>Q463+R463</f>
        <v>1000</v>
      </c>
      <c r="T463" s="109">
        <v>200</v>
      </c>
      <c r="U463" s="56">
        <f t="shared" si="20"/>
        <v>20</v>
      </c>
    </row>
    <row r="464" spans="1:21" s="7" customFormat="1" ht="47.25">
      <c r="A464" s="37" t="s">
        <v>0</v>
      </c>
      <c r="B464" s="49" t="s">
        <v>136</v>
      </c>
      <c r="C464" s="49" t="s">
        <v>111</v>
      </c>
      <c r="D464" s="49"/>
      <c r="E464" s="49" t="s">
        <v>749</v>
      </c>
      <c r="F464" s="49"/>
      <c r="G464" s="76"/>
      <c r="H464" s="112"/>
      <c r="I464" s="109">
        <f>I465</f>
        <v>196300</v>
      </c>
      <c r="J464" s="112"/>
      <c r="K464" s="109">
        <f>K465</f>
        <v>196300</v>
      </c>
      <c r="L464" s="112"/>
      <c r="M464" s="109">
        <f>M465</f>
        <v>190832</v>
      </c>
      <c r="N464" s="113"/>
      <c r="O464" s="109">
        <f>O465</f>
        <v>190832</v>
      </c>
      <c r="P464" s="116"/>
      <c r="Q464" s="109">
        <f>Q465</f>
        <v>190832</v>
      </c>
      <c r="R464" s="116"/>
      <c r="S464" s="109">
        <f>S465</f>
        <v>278032</v>
      </c>
      <c r="T464" s="109">
        <f>T465</f>
        <v>265702.12</v>
      </c>
      <c r="U464" s="56">
        <f t="shared" si="20"/>
        <v>95.6</v>
      </c>
    </row>
    <row r="465" spans="1:21" s="7" customFormat="1" ht="31.5">
      <c r="A465" s="97" t="s">
        <v>70</v>
      </c>
      <c r="B465" s="49" t="s">
        <v>136</v>
      </c>
      <c r="C465" s="49" t="s">
        <v>111</v>
      </c>
      <c r="D465" s="49"/>
      <c r="E465" s="49" t="s">
        <v>749</v>
      </c>
      <c r="F465" s="49" t="s">
        <v>67</v>
      </c>
      <c r="G465" s="76"/>
      <c r="H465" s="112">
        <v>196300</v>
      </c>
      <c r="I465" s="109">
        <f>G465+H465</f>
        <v>196300</v>
      </c>
      <c r="J465" s="112"/>
      <c r="K465" s="109">
        <f>I465+J465</f>
        <v>196300</v>
      </c>
      <c r="L465" s="112">
        <v>-5468</v>
      </c>
      <c r="M465" s="109">
        <f>K465+L465</f>
        <v>190832</v>
      </c>
      <c r="N465" s="113"/>
      <c r="O465" s="109">
        <f>M465+N465</f>
        <v>190832</v>
      </c>
      <c r="P465" s="116"/>
      <c r="Q465" s="109">
        <f>O465+P465</f>
        <v>190832</v>
      </c>
      <c r="R465" s="116">
        <v>87200</v>
      </c>
      <c r="S465" s="109">
        <f>Q465+R465</f>
        <v>278032</v>
      </c>
      <c r="T465" s="109">
        <v>265702.12</v>
      </c>
      <c r="U465" s="56">
        <f t="shared" si="20"/>
        <v>95.6</v>
      </c>
    </row>
    <row r="466" spans="1:21" ht="33.75" customHeight="1">
      <c r="A466" s="110" t="s">
        <v>556</v>
      </c>
      <c r="B466" s="49" t="s">
        <v>136</v>
      </c>
      <c r="C466" s="49" t="s">
        <v>111</v>
      </c>
      <c r="D466" s="49" t="s">
        <v>557</v>
      </c>
      <c r="E466" s="49" t="s">
        <v>437</v>
      </c>
      <c r="F466" s="49"/>
      <c r="G466" s="67">
        <f>G467</f>
        <v>300000</v>
      </c>
      <c r="H466" s="112"/>
      <c r="I466" s="67">
        <f>I467</f>
        <v>296750</v>
      </c>
      <c r="J466" s="112"/>
      <c r="K466" s="109">
        <f>K467</f>
        <v>300000</v>
      </c>
      <c r="L466" s="112"/>
      <c r="M466" s="109">
        <f>M467</f>
        <v>300000</v>
      </c>
      <c r="N466" s="113"/>
      <c r="O466" s="109">
        <f>O467</f>
        <v>300000</v>
      </c>
      <c r="P466" s="113"/>
      <c r="Q466" s="109">
        <f>Q467</f>
        <v>300000</v>
      </c>
      <c r="R466" s="113"/>
      <c r="S466" s="109">
        <f>S467</f>
        <v>250000</v>
      </c>
      <c r="T466" s="109">
        <f>T467</f>
        <v>203042</v>
      </c>
      <c r="U466" s="56">
        <f t="shared" si="20"/>
        <v>81.2</v>
      </c>
    </row>
    <row r="467" spans="1:21" ht="15.75">
      <c r="A467" s="37" t="s">
        <v>213</v>
      </c>
      <c r="B467" s="106" t="s">
        <v>136</v>
      </c>
      <c r="C467" s="106" t="s">
        <v>111</v>
      </c>
      <c r="D467" s="106" t="s">
        <v>557</v>
      </c>
      <c r="E467" s="49" t="s">
        <v>437</v>
      </c>
      <c r="F467" s="106" t="s">
        <v>211</v>
      </c>
      <c r="G467" s="76">
        <v>300000</v>
      </c>
      <c r="H467" s="112">
        <v>-3250</v>
      </c>
      <c r="I467" s="76">
        <f>G467+H467</f>
        <v>296750</v>
      </c>
      <c r="J467" s="112">
        <v>3250</v>
      </c>
      <c r="K467" s="76">
        <f>I467+J467</f>
        <v>300000</v>
      </c>
      <c r="L467" s="112"/>
      <c r="M467" s="76">
        <f>K467+L467</f>
        <v>300000</v>
      </c>
      <c r="N467" s="113"/>
      <c r="O467" s="76">
        <f>M467+N467</f>
        <v>300000</v>
      </c>
      <c r="P467" s="113"/>
      <c r="Q467" s="76">
        <f>O467+P467</f>
        <v>300000</v>
      </c>
      <c r="R467" s="113">
        <v>-50000</v>
      </c>
      <c r="S467" s="76">
        <f>Q467+R467</f>
        <v>250000</v>
      </c>
      <c r="T467" s="76">
        <v>203042</v>
      </c>
      <c r="U467" s="56">
        <f t="shared" si="20"/>
        <v>81.2</v>
      </c>
    </row>
    <row r="468" spans="1:21" ht="15.75">
      <c r="A468" s="9" t="s">
        <v>156</v>
      </c>
      <c r="B468" s="47" t="s">
        <v>136</v>
      </c>
      <c r="C468" s="47" t="s">
        <v>126</v>
      </c>
      <c r="D468" s="47"/>
      <c r="E468" s="47"/>
      <c r="F468" s="47"/>
      <c r="G468" s="64">
        <f>G469</f>
        <v>122130</v>
      </c>
      <c r="H468" s="112"/>
      <c r="I468" s="64">
        <f>I469</f>
        <v>122130</v>
      </c>
      <c r="J468" s="112"/>
      <c r="K468" s="93">
        <f>K469</f>
        <v>122130</v>
      </c>
      <c r="L468" s="112"/>
      <c r="M468" s="93">
        <f>M469</f>
        <v>134984</v>
      </c>
      <c r="N468" s="113"/>
      <c r="O468" s="93">
        <f>O469</f>
        <v>134984</v>
      </c>
      <c r="P468" s="113"/>
      <c r="Q468" s="93">
        <f>Q469</f>
        <v>134984</v>
      </c>
      <c r="R468" s="113"/>
      <c r="S468" s="93">
        <f aca="true" t="shared" si="21" ref="S468:T471">S469</f>
        <v>133316.52</v>
      </c>
      <c r="T468" s="93">
        <f t="shared" si="21"/>
        <v>133316.52</v>
      </c>
      <c r="U468" s="56">
        <f t="shared" si="20"/>
        <v>100</v>
      </c>
    </row>
    <row r="469" spans="1:21" ht="15.75">
      <c r="A469" s="9" t="s">
        <v>157</v>
      </c>
      <c r="B469" s="47" t="s">
        <v>136</v>
      </c>
      <c r="C469" s="47" t="s">
        <v>140</v>
      </c>
      <c r="D469" s="47"/>
      <c r="E469" s="47"/>
      <c r="F469" s="47"/>
      <c r="G469" s="64">
        <f>G470</f>
        <v>122130</v>
      </c>
      <c r="H469" s="112"/>
      <c r="I469" s="64">
        <f>I470</f>
        <v>122130</v>
      </c>
      <c r="J469" s="112"/>
      <c r="K469" s="93">
        <f>K470</f>
        <v>122130</v>
      </c>
      <c r="L469" s="112"/>
      <c r="M469" s="93">
        <f>M470</f>
        <v>134984</v>
      </c>
      <c r="N469" s="113"/>
      <c r="O469" s="93">
        <f>O470</f>
        <v>134984</v>
      </c>
      <c r="P469" s="113"/>
      <c r="Q469" s="93">
        <f>Q470</f>
        <v>134984</v>
      </c>
      <c r="R469" s="113"/>
      <c r="S469" s="93">
        <f t="shared" si="21"/>
        <v>133316.52</v>
      </c>
      <c r="T469" s="93">
        <f t="shared" si="21"/>
        <v>133316.52</v>
      </c>
      <c r="U469" s="56">
        <f t="shared" si="20"/>
        <v>100</v>
      </c>
    </row>
    <row r="470" spans="1:21" ht="31.5">
      <c r="A470" s="16" t="s">
        <v>609</v>
      </c>
      <c r="B470" s="47" t="s">
        <v>136</v>
      </c>
      <c r="C470" s="47" t="s">
        <v>140</v>
      </c>
      <c r="D470" s="47" t="s">
        <v>571</v>
      </c>
      <c r="E470" s="47" t="s">
        <v>357</v>
      </c>
      <c r="F470" s="47"/>
      <c r="G470" s="60">
        <f>G471</f>
        <v>122130</v>
      </c>
      <c r="H470" s="112"/>
      <c r="I470" s="60">
        <f>I471</f>
        <v>122130</v>
      </c>
      <c r="J470" s="112"/>
      <c r="K470" s="74">
        <f>K471</f>
        <v>122130</v>
      </c>
      <c r="L470" s="112"/>
      <c r="M470" s="74">
        <f>M471</f>
        <v>134984</v>
      </c>
      <c r="N470" s="113"/>
      <c r="O470" s="74">
        <f>O471</f>
        <v>134984</v>
      </c>
      <c r="P470" s="113"/>
      <c r="Q470" s="74">
        <f>Q471</f>
        <v>134984</v>
      </c>
      <c r="R470" s="113"/>
      <c r="S470" s="74">
        <f t="shared" si="21"/>
        <v>133316.52</v>
      </c>
      <c r="T470" s="74">
        <f t="shared" si="21"/>
        <v>133316.52</v>
      </c>
      <c r="U470" s="56">
        <f t="shared" si="20"/>
        <v>100</v>
      </c>
    </row>
    <row r="471" spans="1:21" ht="31.5" customHeight="1">
      <c r="A471" s="16" t="s">
        <v>287</v>
      </c>
      <c r="B471" s="47" t="s">
        <v>136</v>
      </c>
      <c r="C471" s="47" t="s">
        <v>140</v>
      </c>
      <c r="D471" s="47" t="s">
        <v>555</v>
      </c>
      <c r="E471" s="47" t="s">
        <v>286</v>
      </c>
      <c r="F471" s="47"/>
      <c r="G471" s="60">
        <f>G472</f>
        <v>122130</v>
      </c>
      <c r="H471" s="113"/>
      <c r="I471" s="60">
        <f>I472</f>
        <v>122130</v>
      </c>
      <c r="J471" s="112"/>
      <c r="K471" s="74">
        <f>K472</f>
        <v>122130</v>
      </c>
      <c r="L471" s="112"/>
      <c r="M471" s="74">
        <f>M472</f>
        <v>134984</v>
      </c>
      <c r="N471" s="113"/>
      <c r="O471" s="74">
        <f>O472</f>
        <v>134984</v>
      </c>
      <c r="P471" s="113"/>
      <c r="Q471" s="74">
        <f>Q472</f>
        <v>134984</v>
      </c>
      <c r="R471" s="113"/>
      <c r="S471" s="74">
        <f t="shared" si="21"/>
        <v>133316.52</v>
      </c>
      <c r="T471" s="74">
        <f t="shared" si="21"/>
        <v>133316.52</v>
      </c>
      <c r="U471" s="56">
        <f t="shared" si="20"/>
        <v>100</v>
      </c>
    </row>
    <row r="472" spans="1:21" ht="31.5" customHeight="1">
      <c r="A472" s="111" t="s">
        <v>47</v>
      </c>
      <c r="B472" s="106" t="s">
        <v>136</v>
      </c>
      <c r="C472" s="106" t="s">
        <v>140</v>
      </c>
      <c r="D472" s="106" t="s">
        <v>555</v>
      </c>
      <c r="E472" s="106" t="s">
        <v>286</v>
      </c>
      <c r="F472" s="106" t="s">
        <v>72</v>
      </c>
      <c r="G472" s="76">
        <v>122130</v>
      </c>
      <c r="H472" s="112"/>
      <c r="I472" s="76">
        <f>G472+H472</f>
        <v>122130</v>
      </c>
      <c r="J472" s="112"/>
      <c r="K472" s="76">
        <f>I472+J472</f>
        <v>122130</v>
      </c>
      <c r="L472" s="112">
        <v>12854</v>
      </c>
      <c r="M472" s="76">
        <f>K472+L472</f>
        <v>134984</v>
      </c>
      <c r="N472" s="113"/>
      <c r="O472" s="76">
        <f>M472+N472</f>
        <v>134984</v>
      </c>
      <c r="P472" s="113"/>
      <c r="Q472" s="76">
        <f>O472+P472</f>
        <v>134984</v>
      </c>
      <c r="R472" s="113">
        <v>-1667.48</v>
      </c>
      <c r="S472" s="76">
        <f>Q472+R472</f>
        <v>133316.52</v>
      </c>
      <c r="T472" s="76">
        <v>133316.52</v>
      </c>
      <c r="U472" s="56">
        <f t="shared" si="20"/>
        <v>100</v>
      </c>
    </row>
    <row r="473" spans="1:21" ht="49.5" customHeight="1">
      <c r="A473" s="8" t="s">
        <v>186</v>
      </c>
      <c r="B473" s="44">
        <v>908</v>
      </c>
      <c r="C473" s="45"/>
      <c r="D473" s="45"/>
      <c r="E473" s="45"/>
      <c r="F473" s="45"/>
      <c r="G473" s="72">
        <f>G474+G480</f>
        <v>108182280</v>
      </c>
      <c r="H473" s="113"/>
      <c r="I473" s="72">
        <f>I474+I480</f>
        <v>108182280</v>
      </c>
      <c r="J473" s="112"/>
      <c r="K473" s="124">
        <f>K474+K480</f>
        <v>113822457</v>
      </c>
      <c r="L473" s="113"/>
      <c r="M473" s="124">
        <f>M474+M480</f>
        <v>113850457</v>
      </c>
      <c r="N473" s="113"/>
      <c r="O473" s="124">
        <f>O474+O480</f>
        <v>114539857</v>
      </c>
      <c r="P473" s="113"/>
      <c r="Q473" s="124">
        <f>Q474+Q480</f>
        <v>117016937</v>
      </c>
      <c r="R473" s="113"/>
      <c r="S473" s="124">
        <f>S474+S480+S511</f>
        <v>117012108</v>
      </c>
      <c r="T473" s="124">
        <f>T474+T480+T511</f>
        <v>106789760.17000002</v>
      </c>
      <c r="U473" s="72">
        <f t="shared" si="20"/>
        <v>91.3</v>
      </c>
    </row>
    <row r="474" spans="1:21" ht="62.25" customHeight="1">
      <c r="A474" s="11" t="s">
        <v>639</v>
      </c>
      <c r="B474" s="45" t="s">
        <v>125</v>
      </c>
      <c r="C474" s="45" t="s">
        <v>109</v>
      </c>
      <c r="D474" s="45" t="s">
        <v>622</v>
      </c>
      <c r="E474" s="45" t="s">
        <v>381</v>
      </c>
      <c r="F474" s="45"/>
      <c r="G474" s="56">
        <f>G475</f>
        <v>5040000</v>
      </c>
      <c r="H474" s="112"/>
      <c r="I474" s="56">
        <f>I475</f>
        <v>5040000</v>
      </c>
      <c r="J474" s="112"/>
      <c r="K474" s="76">
        <f>K475</f>
        <v>6105100</v>
      </c>
      <c r="L474" s="112"/>
      <c r="M474" s="76">
        <f>M475</f>
        <v>6105100</v>
      </c>
      <c r="N474" s="113"/>
      <c r="O474" s="76">
        <f>O475</f>
        <v>8175463</v>
      </c>
      <c r="P474" s="113"/>
      <c r="Q474" s="76">
        <f>Q475</f>
        <v>8175463</v>
      </c>
      <c r="R474" s="113"/>
      <c r="S474" s="76">
        <f>S475</f>
        <v>8175463</v>
      </c>
      <c r="T474" s="76">
        <f>T475</f>
        <v>8175463</v>
      </c>
      <c r="U474" s="56">
        <f t="shared" si="20"/>
        <v>100</v>
      </c>
    </row>
    <row r="475" spans="1:21" ht="55.5" customHeight="1">
      <c r="A475" s="34" t="s">
        <v>640</v>
      </c>
      <c r="B475" s="49" t="s">
        <v>125</v>
      </c>
      <c r="C475" s="49" t="s">
        <v>109</v>
      </c>
      <c r="D475" s="49" t="s">
        <v>651</v>
      </c>
      <c r="E475" s="49" t="s">
        <v>438</v>
      </c>
      <c r="F475" s="49"/>
      <c r="G475" s="56">
        <f>G476</f>
        <v>5040000</v>
      </c>
      <c r="H475" s="112"/>
      <c r="I475" s="56">
        <f>I476</f>
        <v>5040000</v>
      </c>
      <c r="J475" s="112"/>
      <c r="K475" s="76">
        <f>K476+K478</f>
        <v>6105100</v>
      </c>
      <c r="L475" s="112"/>
      <c r="M475" s="76">
        <f>M476+M478</f>
        <v>6105100</v>
      </c>
      <c r="N475" s="113"/>
      <c r="O475" s="76">
        <f>O476+O478</f>
        <v>8175463</v>
      </c>
      <c r="P475" s="113"/>
      <c r="Q475" s="76">
        <f>Q476+Q478</f>
        <v>8175463</v>
      </c>
      <c r="R475" s="113"/>
      <c r="S475" s="76">
        <f>S476+S478</f>
        <v>8175463</v>
      </c>
      <c r="T475" s="76">
        <f>T476+T478</f>
        <v>8175463</v>
      </c>
      <c r="U475" s="56">
        <f t="shared" si="20"/>
        <v>100</v>
      </c>
    </row>
    <row r="476" spans="1:21" ht="63" customHeight="1">
      <c r="A476" s="34" t="s">
        <v>721</v>
      </c>
      <c r="B476" s="49" t="s">
        <v>125</v>
      </c>
      <c r="C476" s="49" t="s">
        <v>109</v>
      </c>
      <c r="D476" s="49" t="s">
        <v>641</v>
      </c>
      <c r="E476" s="49" t="s">
        <v>439</v>
      </c>
      <c r="F476" s="49"/>
      <c r="G476" s="56">
        <f>G477</f>
        <v>5040000</v>
      </c>
      <c r="H476" s="112"/>
      <c r="I476" s="56">
        <f>I477</f>
        <v>5040000</v>
      </c>
      <c r="J476" s="112"/>
      <c r="K476" s="76">
        <f>K477</f>
        <v>5040000</v>
      </c>
      <c r="L476" s="112"/>
      <c r="M476" s="76">
        <f>M477</f>
        <v>5040000</v>
      </c>
      <c r="N476" s="113"/>
      <c r="O476" s="76">
        <f>O477</f>
        <v>7020663</v>
      </c>
      <c r="P476" s="113"/>
      <c r="Q476" s="76">
        <f>Q477</f>
        <v>7020663</v>
      </c>
      <c r="R476" s="113"/>
      <c r="S476" s="76">
        <f>S477</f>
        <v>7020663</v>
      </c>
      <c r="T476" s="76">
        <f>T477</f>
        <v>7020663</v>
      </c>
      <c r="U476" s="56">
        <f t="shared" si="20"/>
        <v>100</v>
      </c>
    </row>
    <row r="477" spans="1:21" ht="17.25" customHeight="1">
      <c r="A477" s="103" t="s">
        <v>64</v>
      </c>
      <c r="B477" s="49" t="s">
        <v>125</v>
      </c>
      <c r="C477" s="49" t="s">
        <v>109</v>
      </c>
      <c r="D477" s="49"/>
      <c r="E477" s="49" t="s">
        <v>439</v>
      </c>
      <c r="F477" s="49" t="s">
        <v>63</v>
      </c>
      <c r="G477" s="76">
        <v>5040000</v>
      </c>
      <c r="H477" s="112"/>
      <c r="I477" s="76">
        <f>G477+H477</f>
        <v>5040000</v>
      </c>
      <c r="J477" s="112"/>
      <c r="K477" s="76">
        <f>I477+J477</f>
        <v>5040000</v>
      </c>
      <c r="L477" s="112"/>
      <c r="M477" s="76">
        <f>K477+L477</f>
        <v>5040000</v>
      </c>
      <c r="N477" s="113">
        <v>1980663</v>
      </c>
      <c r="O477" s="76">
        <f>M477+N477</f>
        <v>7020663</v>
      </c>
      <c r="P477" s="113"/>
      <c r="Q477" s="76">
        <f>O477+P477</f>
        <v>7020663</v>
      </c>
      <c r="R477" s="113"/>
      <c r="S477" s="76">
        <f>Q477+R477</f>
        <v>7020663</v>
      </c>
      <c r="T477" s="76">
        <f>R477+S477</f>
        <v>7020663</v>
      </c>
      <c r="U477" s="56">
        <f t="shared" si="20"/>
        <v>100</v>
      </c>
    </row>
    <row r="478" spans="1:21" ht="85.5" customHeight="1">
      <c r="A478" s="103" t="s">
        <v>20</v>
      </c>
      <c r="B478" s="49" t="s">
        <v>125</v>
      </c>
      <c r="C478" s="49" t="s">
        <v>109</v>
      </c>
      <c r="D478" s="49"/>
      <c r="E478" s="49" t="s">
        <v>21</v>
      </c>
      <c r="F478" s="49"/>
      <c r="G478" s="76"/>
      <c r="H478" s="112"/>
      <c r="I478" s="76"/>
      <c r="J478" s="112"/>
      <c r="K478" s="76">
        <f>K479</f>
        <v>1065100</v>
      </c>
      <c r="L478" s="112"/>
      <c r="M478" s="76">
        <f>M479</f>
        <v>1065100</v>
      </c>
      <c r="N478" s="113"/>
      <c r="O478" s="76">
        <f>O479</f>
        <v>1154800</v>
      </c>
      <c r="P478" s="113"/>
      <c r="Q478" s="76">
        <f>Q479</f>
        <v>1154800</v>
      </c>
      <c r="R478" s="113"/>
      <c r="S478" s="76">
        <f>S479</f>
        <v>1154800</v>
      </c>
      <c r="T478" s="76">
        <f>T479</f>
        <v>1154800</v>
      </c>
      <c r="U478" s="56">
        <f t="shared" si="20"/>
        <v>100</v>
      </c>
    </row>
    <row r="479" spans="1:21" ht="17.25" customHeight="1">
      <c r="A479" s="103" t="s">
        <v>64</v>
      </c>
      <c r="B479" s="49" t="s">
        <v>125</v>
      </c>
      <c r="C479" s="49" t="s">
        <v>109</v>
      </c>
      <c r="D479" s="49"/>
      <c r="E479" s="49" t="s">
        <v>21</v>
      </c>
      <c r="F479" s="49" t="s">
        <v>63</v>
      </c>
      <c r="G479" s="76"/>
      <c r="H479" s="112"/>
      <c r="I479" s="76"/>
      <c r="J479" s="112">
        <v>1065100</v>
      </c>
      <c r="K479" s="76">
        <f>I479+J479</f>
        <v>1065100</v>
      </c>
      <c r="L479" s="112"/>
      <c r="M479" s="76">
        <f>K479+L479</f>
        <v>1065100</v>
      </c>
      <c r="N479" s="113">
        <v>89700</v>
      </c>
      <c r="O479" s="76">
        <f>M479+N479</f>
        <v>1154800</v>
      </c>
      <c r="P479" s="113"/>
      <c r="Q479" s="76">
        <f>O479+P479</f>
        <v>1154800</v>
      </c>
      <c r="R479" s="113"/>
      <c r="S479" s="76">
        <f>Q479+R479</f>
        <v>1154800</v>
      </c>
      <c r="T479" s="76">
        <f>R479+S479</f>
        <v>1154800</v>
      </c>
      <c r="U479" s="56">
        <f t="shared" si="20"/>
        <v>100</v>
      </c>
    </row>
    <row r="480" spans="1:21" ht="69" customHeight="1">
      <c r="A480" s="10" t="s">
        <v>639</v>
      </c>
      <c r="B480" s="45" t="s">
        <v>125</v>
      </c>
      <c r="C480" s="45" t="s">
        <v>112</v>
      </c>
      <c r="D480" s="45" t="s">
        <v>622</v>
      </c>
      <c r="E480" s="45" t="s">
        <v>381</v>
      </c>
      <c r="F480" s="45"/>
      <c r="G480" s="60">
        <f>G481+G504</f>
        <v>103142280</v>
      </c>
      <c r="H480" s="112"/>
      <c r="I480" s="60">
        <f>I481+I504</f>
        <v>103142280</v>
      </c>
      <c r="J480" s="112"/>
      <c r="K480" s="74">
        <f>K481+K504</f>
        <v>107717357</v>
      </c>
      <c r="L480" s="112"/>
      <c r="M480" s="74">
        <f>M481+M504</f>
        <v>107745357</v>
      </c>
      <c r="N480" s="113"/>
      <c r="O480" s="74">
        <f>O481+O504</f>
        <v>106364394</v>
      </c>
      <c r="P480" s="113"/>
      <c r="Q480" s="74">
        <f>Q481+Q504</f>
        <v>108841474</v>
      </c>
      <c r="R480" s="113"/>
      <c r="S480" s="74">
        <f>S481+S504</f>
        <v>108832360</v>
      </c>
      <c r="T480" s="74">
        <f>T481+T504</f>
        <v>98610013.27000001</v>
      </c>
      <c r="U480" s="56">
        <f t="shared" si="20"/>
        <v>90.6</v>
      </c>
    </row>
    <row r="481" spans="1:21" ht="47.25" customHeight="1">
      <c r="A481" s="16" t="s">
        <v>621</v>
      </c>
      <c r="B481" s="45">
        <v>908</v>
      </c>
      <c r="C481" s="45" t="s">
        <v>113</v>
      </c>
      <c r="D481" s="47" t="s">
        <v>666</v>
      </c>
      <c r="E481" s="47" t="s">
        <v>382</v>
      </c>
      <c r="F481" s="47"/>
      <c r="G481" s="61">
        <f>G482+G490+G500+G502</f>
        <v>102412400</v>
      </c>
      <c r="H481" s="112"/>
      <c r="I481" s="61">
        <f>I482+I490+I500+I502</f>
        <v>102412400</v>
      </c>
      <c r="J481" s="112"/>
      <c r="K481" s="75">
        <f>K482+K490+K500+K502</f>
        <v>106983477</v>
      </c>
      <c r="L481" s="112"/>
      <c r="M481" s="75">
        <f>M482+M490+M500+M502</f>
        <v>106958283</v>
      </c>
      <c r="N481" s="113"/>
      <c r="O481" s="75">
        <f>O482+O490+O500+O502+O484+O496+O498</f>
        <v>105483620</v>
      </c>
      <c r="P481" s="113"/>
      <c r="Q481" s="75">
        <f>Q482+Q490+Q500+Q502+Q484+Q496+Q498+Q494+Q486+Q488+Q492</f>
        <v>107960700</v>
      </c>
      <c r="R481" s="113"/>
      <c r="S481" s="75">
        <f>S482+S490+S500+S502+S484+S496+S498+S494+S486+S488+S492</f>
        <v>107911549.4</v>
      </c>
      <c r="T481" s="75">
        <f>T482+T490+T500+T502+T484+T496+T498+T494+T486+T488+T492</f>
        <v>97712886.85000001</v>
      </c>
      <c r="U481" s="56">
        <f t="shared" si="20"/>
        <v>90.5</v>
      </c>
    </row>
    <row r="482" spans="1:21" ht="47.25">
      <c r="A482" s="16" t="s">
        <v>638</v>
      </c>
      <c r="B482" s="45" t="s">
        <v>125</v>
      </c>
      <c r="C482" s="45" t="s">
        <v>113</v>
      </c>
      <c r="D482" s="47" t="s">
        <v>623</v>
      </c>
      <c r="E482" s="47" t="s">
        <v>383</v>
      </c>
      <c r="F482" s="47"/>
      <c r="G482" s="61">
        <f>G483</f>
        <v>70532177</v>
      </c>
      <c r="H482" s="112"/>
      <c r="I482" s="61">
        <f>I483</f>
        <v>70532177</v>
      </c>
      <c r="J482" s="112"/>
      <c r="K482" s="75">
        <f>K483</f>
        <v>70632177</v>
      </c>
      <c r="L482" s="112"/>
      <c r="M482" s="75">
        <f>M483</f>
        <v>70606983</v>
      </c>
      <c r="N482" s="113"/>
      <c r="O482" s="75">
        <f>O483</f>
        <v>68697320</v>
      </c>
      <c r="P482" s="113"/>
      <c r="Q482" s="75">
        <f>Q483</f>
        <v>68879820</v>
      </c>
      <c r="R482" s="113"/>
      <c r="S482" s="75">
        <f>S483</f>
        <v>75285654.6</v>
      </c>
      <c r="T482" s="75">
        <f>T483</f>
        <v>66990793.54</v>
      </c>
      <c r="U482" s="56">
        <f t="shared" si="20"/>
        <v>89</v>
      </c>
    </row>
    <row r="483" spans="1:21" ht="22.5" customHeight="1">
      <c r="A483" s="9" t="s">
        <v>64</v>
      </c>
      <c r="B483" s="45" t="s">
        <v>125</v>
      </c>
      <c r="C483" s="45" t="s">
        <v>113</v>
      </c>
      <c r="D483" s="47" t="s">
        <v>623</v>
      </c>
      <c r="E483" s="47" t="s">
        <v>383</v>
      </c>
      <c r="F483" s="47" t="s">
        <v>63</v>
      </c>
      <c r="G483" s="74">
        <f>70352177+180000</f>
        <v>70532177</v>
      </c>
      <c r="H483" s="112"/>
      <c r="I483" s="74">
        <f>G483+H483</f>
        <v>70532177</v>
      </c>
      <c r="J483" s="112">
        <v>100000</v>
      </c>
      <c r="K483" s="74">
        <f>I483+J483</f>
        <v>70632177</v>
      </c>
      <c r="L483" s="112">
        <f>-13194-12000</f>
        <v>-25194</v>
      </c>
      <c r="M483" s="74">
        <f>K483+L483</f>
        <v>70606983</v>
      </c>
      <c r="N483" s="136">
        <v>-1909663</v>
      </c>
      <c r="O483" s="74">
        <f>M483+N483</f>
        <v>68697320</v>
      </c>
      <c r="P483" s="113">
        <f>246000-150000+86500</f>
        <v>182500</v>
      </c>
      <c r="Q483" s="74">
        <f>O483+P483</f>
        <v>68879820</v>
      </c>
      <c r="R483" s="113">
        <f>-1835526.46+8211486.91+65530.48-35656.33</f>
        <v>6405834.600000001</v>
      </c>
      <c r="S483" s="74">
        <f>Q483+R483</f>
        <v>75285654.6</v>
      </c>
      <c r="T483" s="74">
        <v>66990793.54</v>
      </c>
      <c r="U483" s="56">
        <f t="shared" si="20"/>
        <v>89</v>
      </c>
    </row>
    <row r="484" spans="1:21" ht="33" customHeight="1">
      <c r="A484" s="9" t="s">
        <v>550</v>
      </c>
      <c r="B484" s="45" t="s">
        <v>125</v>
      </c>
      <c r="C484" s="45" t="s">
        <v>113</v>
      </c>
      <c r="D484" s="47"/>
      <c r="E484" s="47" t="s">
        <v>549</v>
      </c>
      <c r="F484" s="47"/>
      <c r="G484" s="74"/>
      <c r="H484" s="112"/>
      <c r="I484" s="74"/>
      <c r="J484" s="112"/>
      <c r="K484" s="74"/>
      <c r="L484" s="112"/>
      <c r="M484" s="74"/>
      <c r="N484" s="113"/>
      <c r="O484" s="74">
        <f>O485</f>
        <v>285000</v>
      </c>
      <c r="P484" s="113"/>
      <c r="Q484" s="74">
        <f>Q485</f>
        <v>285000</v>
      </c>
      <c r="R484" s="113"/>
      <c r="S484" s="74">
        <f>S485</f>
        <v>285000</v>
      </c>
      <c r="T484" s="74">
        <f>T485</f>
        <v>285000</v>
      </c>
      <c r="U484" s="56">
        <f t="shared" si="20"/>
        <v>100</v>
      </c>
    </row>
    <row r="485" spans="1:21" ht="22.5" customHeight="1">
      <c r="A485" s="9" t="s">
        <v>64</v>
      </c>
      <c r="B485" s="45" t="s">
        <v>125</v>
      </c>
      <c r="C485" s="45" t="s">
        <v>113</v>
      </c>
      <c r="D485" s="47"/>
      <c r="E485" s="47" t="s">
        <v>549</v>
      </c>
      <c r="F485" s="47" t="s">
        <v>63</v>
      </c>
      <c r="G485" s="74"/>
      <c r="H485" s="112"/>
      <c r="I485" s="74"/>
      <c r="J485" s="112"/>
      <c r="K485" s="74"/>
      <c r="L485" s="112"/>
      <c r="M485" s="74"/>
      <c r="N485" s="113">
        <v>285000</v>
      </c>
      <c r="O485" s="74">
        <f>M485+N485</f>
        <v>285000</v>
      </c>
      <c r="P485" s="113"/>
      <c r="Q485" s="74">
        <f>O485+P485</f>
        <v>285000</v>
      </c>
      <c r="R485" s="113"/>
      <c r="S485" s="74">
        <f>Q485+R485</f>
        <v>285000</v>
      </c>
      <c r="T485" s="74">
        <f>R485+S485</f>
        <v>285000</v>
      </c>
      <c r="U485" s="56">
        <f t="shared" si="20"/>
        <v>100</v>
      </c>
    </row>
    <row r="486" spans="1:21" ht="197.25" customHeight="1">
      <c r="A486" s="12" t="s">
        <v>39</v>
      </c>
      <c r="B486" s="45" t="s">
        <v>125</v>
      </c>
      <c r="C486" s="45" t="s">
        <v>113</v>
      </c>
      <c r="D486" s="47"/>
      <c r="E486" s="47" t="s">
        <v>41</v>
      </c>
      <c r="F486" s="47"/>
      <c r="G486" s="74"/>
      <c r="H486" s="112"/>
      <c r="I486" s="74"/>
      <c r="J486" s="112"/>
      <c r="K486" s="74"/>
      <c r="L486" s="112"/>
      <c r="M486" s="74"/>
      <c r="N486" s="113"/>
      <c r="O486" s="74"/>
      <c r="P486" s="113"/>
      <c r="Q486" s="74">
        <f>Q487</f>
        <v>1100000</v>
      </c>
      <c r="R486" s="113"/>
      <c r="S486" s="74">
        <f>S487</f>
        <v>1100000</v>
      </c>
      <c r="T486" s="74">
        <f>T487</f>
        <v>1100000</v>
      </c>
      <c r="U486" s="56">
        <f t="shared" si="20"/>
        <v>100</v>
      </c>
    </row>
    <row r="487" spans="1:21" ht="18.75" customHeight="1">
      <c r="A487" s="9" t="s">
        <v>64</v>
      </c>
      <c r="B487" s="45" t="s">
        <v>125</v>
      </c>
      <c r="C487" s="45" t="s">
        <v>113</v>
      </c>
      <c r="D487" s="47"/>
      <c r="E487" s="47" t="s">
        <v>197</v>
      </c>
      <c r="F487" s="47" t="s">
        <v>63</v>
      </c>
      <c r="G487" s="74"/>
      <c r="H487" s="112"/>
      <c r="I487" s="74"/>
      <c r="J487" s="112"/>
      <c r="K487" s="74"/>
      <c r="L487" s="112"/>
      <c r="M487" s="74"/>
      <c r="N487" s="113"/>
      <c r="O487" s="74"/>
      <c r="P487" s="139">
        <v>1100000</v>
      </c>
      <c r="Q487" s="74">
        <f>O487+P487</f>
        <v>1100000</v>
      </c>
      <c r="R487" s="113"/>
      <c r="S487" s="74">
        <f>Q487+R487</f>
        <v>1100000</v>
      </c>
      <c r="T487" s="74">
        <f>R487+S487</f>
        <v>1100000</v>
      </c>
      <c r="U487" s="56">
        <f t="shared" si="20"/>
        <v>100</v>
      </c>
    </row>
    <row r="488" spans="1:21" ht="201" customHeight="1">
      <c r="A488" s="12" t="s">
        <v>40</v>
      </c>
      <c r="B488" s="45" t="s">
        <v>125</v>
      </c>
      <c r="C488" s="45" t="s">
        <v>113</v>
      </c>
      <c r="D488" s="47"/>
      <c r="E488" s="47" t="s">
        <v>42</v>
      </c>
      <c r="F488" s="47"/>
      <c r="G488" s="74"/>
      <c r="H488" s="112"/>
      <c r="I488" s="74"/>
      <c r="J488" s="112"/>
      <c r="K488" s="74"/>
      <c r="L488" s="112"/>
      <c r="M488" s="74"/>
      <c r="N488" s="113"/>
      <c r="O488" s="74"/>
      <c r="P488" s="113"/>
      <c r="Q488" s="74">
        <f>Q489</f>
        <v>538680</v>
      </c>
      <c r="R488" s="113"/>
      <c r="S488" s="74">
        <f>S489</f>
        <v>538680</v>
      </c>
      <c r="T488" s="74">
        <f>T489</f>
        <v>538680</v>
      </c>
      <c r="U488" s="56">
        <f t="shared" si="20"/>
        <v>100</v>
      </c>
    </row>
    <row r="489" spans="1:21" ht="18.75" customHeight="1">
      <c r="A489" s="9" t="s">
        <v>64</v>
      </c>
      <c r="B489" s="45" t="s">
        <v>125</v>
      </c>
      <c r="C489" s="45" t="s">
        <v>113</v>
      </c>
      <c r="D489" s="47"/>
      <c r="E489" s="47" t="s">
        <v>42</v>
      </c>
      <c r="F489" s="47" t="s">
        <v>63</v>
      </c>
      <c r="G489" s="74"/>
      <c r="H489" s="112"/>
      <c r="I489" s="74"/>
      <c r="J489" s="112"/>
      <c r="K489" s="74"/>
      <c r="L489" s="112"/>
      <c r="M489" s="74"/>
      <c r="N489" s="113"/>
      <c r="O489" s="74"/>
      <c r="P489" s="139">
        <v>538680</v>
      </c>
      <c r="Q489" s="74">
        <f>O489+P489</f>
        <v>538680</v>
      </c>
      <c r="R489" s="113"/>
      <c r="S489" s="74">
        <f>Q489+R489</f>
        <v>538680</v>
      </c>
      <c r="T489" s="74">
        <f>R489+S489</f>
        <v>538680</v>
      </c>
      <c r="U489" s="56">
        <f t="shared" si="20"/>
        <v>100</v>
      </c>
    </row>
    <row r="490" spans="1:21" ht="15" customHeight="1">
      <c r="A490" s="29" t="s">
        <v>624</v>
      </c>
      <c r="B490" s="45">
        <v>908</v>
      </c>
      <c r="C490" s="45" t="s">
        <v>113</v>
      </c>
      <c r="D490" s="47" t="s">
        <v>625</v>
      </c>
      <c r="E490" s="47" t="s">
        <v>384</v>
      </c>
      <c r="F490" s="47"/>
      <c r="G490" s="61">
        <f>G491</f>
        <v>24097900</v>
      </c>
      <c r="H490" s="112"/>
      <c r="I490" s="61">
        <f>I491</f>
        <v>24097900</v>
      </c>
      <c r="J490" s="112"/>
      <c r="K490" s="75">
        <f>K491</f>
        <v>24097900</v>
      </c>
      <c r="L490" s="112"/>
      <c r="M490" s="75">
        <f>M491</f>
        <v>24097900</v>
      </c>
      <c r="N490" s="113"/>
      <c r="O490" s="75">
        <f>O491</f>
        <v>24097900</v>
      </c>
      <c r="P490" s="113"/>
      <c r="Q490" s="75">
        <f>Q491</f>
        <v>24011400</v>
      </c>
      <c r="R490" s="113"/>
      <c r="S490" s="75">
        <f>S491</f>
        <v>17790309.68</v>
      </c>
      <c r="T490" s="75">
        <f>T491</f>
        <v>17763778.26</v>
      </c>
      <c r="U490" s="56">
        <f t="shared" si="20"/>
        <v>99.9</v>
      </c>
    </row>
    <row r="491" spans="1:21" ht="21.75" customHeight="1">
      <c r="A491" s="9" t="s">
        <v>64</v>
      </c>
      <c r="B491" s="45" t="s">
        <v>125</v>
      </c>
      <c r="C491" s="45" t="s">
        <v>113</v>
      </c>
      <c r="D491" s="47" t="s">
        <v>625</v>
      </c>
      <c r="E491" s="47" t="s">
        <v>384</v>
      </c>
      <c r="F491" s="47" t="s">
        <v>63</v>
      </c>
      <c r="G491" s="74">
        <v>24097900</v>
      </c>
      <c r="H491" s="112"/>
      <c r="I491" s="74">
        <f>G491+H491</f>
        <v>24097900</v>
      </c>
      <c r="J491" s="112"/>
      <c r="K491" s="74">
        <f>I491+J491</f>
        <v>24097900</v>
      </c>
      <c r="L491" s="112"/>
      <c r="M491" s="74">
        <f>K491+L491</f>
        <v>24097900</v>
      </c>
      <c r="N491" s="113"/>
      <c r="O491" s="74">
        <f>M491+N491</f>
        <v>24097900</v>
      </c>
      <c r="P491" s="113">
        <v>-86500</v>
      </c>
      <c r="Q491" s="74">
        <f>O491+P491</f>
        <v>24011400</v>
      </c>
      <c r="R491" s="113">
        <f>-105868-6141753.74+26531.42</f>
        <v>-6221090.32</v>
      </c>
      <c r="S491" s="74">
        <f>Q491+R491</f>
        <v>17790309.68</v>
      </c>
      <c r="T491" s="74">
        <v>17763778.26</v>
      </c>
      <c r="U491" s="56">
        <f t="shared" si="20"/>
        <v>99.9</v>
      </c>
    </row>
    <row r="492" spans="1:21" ht="191.25" customHeight="1">
      <c r="A492" s="140" t="s">
        <v>43</v>
      </c>
      <c r="B492" s="45" t="s">
        <v>125</v>
      </c>
      <c r="C492" s="45" t="s">
        <v>113</v>
      </c>
      <c r="D492" s="47"/>
      <c r="E492" s="47" t="s">
        <v>44</v>
      </c>
      <c r="F492" s="47"/>
      <c r="G492" s="74"/>
      <c r="H492" s="112"/>
      <c r="I492" s="74"/>
      <c r="J492" s="112"/>
      <c r="K492" s="74"/>
      <c r="L492" s="112"/>
      <c r="M492" s="74"/>
      <c r="N492" s="113"/>
      <c r="O492" s="74"/>
      <c r="P492" s="113"/>
      <c r="Q492" s="74">
        <f>Q493</f>
        <v>500000</v>
      </c>
      <c r="R492" s="113"/>
      <c r="S492" s="74">
        <f>S493</f>
        <v>500000</v>
      </c>
      <c r="T492" s="74">
        <f>T493</f>
        <v>500000</v>
      </c>
      <c r="U492" s="56">
        <f t="shared" si="20"/>
        <v>100</v>
      </c>
    </row>
    <row r="493" spans="1:21" ht="33" customHeight="1">
      <c r="A493" s="9" t="s">
        <v>64</v>
      </c>
      <c r="B493" s="45" t="s">
        <v>125</v>
      </c>
      <c r="C493" s="45" t="s">
        <v>113</v>
      </c>
      <c r="D493" s="47"/>
      <c r="E493" s="47" t="s">
        <v>44</v>
      </c>
      <c r="F493" s="47" t="s">
        <v>63</v>
      </c>
      <c r="G493" s="74"/>
      <c r="H493" s="112"/>
      <c r="I493" s="74"/>
      <c r="J493" s="112"/>
      <c r="K493" s="74"/>
      <c r="L493" s="112"/>
      <c r="M493" s="74"/>
      <c r="N493" s="113"/>
      <c r="O493" s="74"/>
      <c r="P493" s="113">
        <v>500000</v>
      </c>
      <c r="Q493" s="74">
        <f>O493+P493</f>
        <v>500000</v>
      </c>
      <c r="R493" s="113"/>
      <c r="S493" s="74">
        <f>Q493+R493</f>
        <v>500000</v>
      </c>
      <c r="T493" s="74">
        <f>R493+S493</f>
        <v>500000</v>
      </c>
      <c r="U493" s="56">
        <f t="shared" si="20"/>
        <v>100</v>
      </c>
    </row>
    <row r="494" spans="1:21" ht="147.75" customHeight="1">
      <c r="A494" s="138" t="s">
        <v>188</v>
      </c>
      <c r="B494" s="45" t="s">
        <v>125</v>
      </c>
      <c r="C494" s="47" t="s">
        <v>113</v>
      </c>
      <c r="D494" s="47"/>
      <c r="E494" s="47" t="s">
        <v>189</v>
      </c>
      <c r="F494" s="47"/>
      <c r="G494" s="74"/>
      <c r="H494" s="112"/>
      <c r="I494" s="74"/>
      <c r="J494" s="112"/>
      <c r="K494" s="74"/>
      <c r="L494" s="112"/>
      <c r="M494" s="74"/>
      <c r="N494" s="113"/>
      <c r="O494" s="74"/>
      <c r="P494" s="113"/>
      <c r="Q494" s="74">
        <f>Q495</f>
        <v>92400</v>
      </c>
      <c r="R494" s="113"/>
      <c r="S494" s="74">
        <f>S495</f>
        <v>92400</v>
      </c>
      <c r="T494" s="74">
        <f>T495</f>
        <v>92400</v>
      </c>
      <c r="U494" s="56">
        <f t="shared" si="20"/>
        <v>100</v>
      </c>
    </row>
    <row r="495" spans="1:21" ht="18" customHeight="1">
      <c r="A495" s="16" t="s">
        <v>64</v>
      </c>
      <c r="B495" s="45" t="s">
        <v>125</v>
      </c>
      <c r="C495" s="47" t="s">
        <v>113</v>
      </c>
      <c r="D495" s="47"/>
      <c r="E495" s="47" t="s">
        <v>189</v>
      </c>
      <c r="F495" s="47" t="s">
        <v>63</v>
      </c>
      <c r="G495" s="74"/>
      <c r="H495" s="112"/>
      <c r="I495" s="74"/>
      <c r="J495" s="112"/>
      <c r="K495" s="74"/>
      <c r="L495" s="112"/>
      <c r="M495" s="74"/>
      <c r="N495" s="113"/>
      <c r="O495" s="74"/>
      <c r="P495" s="113">
        <v>92400</v>
      </c>
      <c r="Q495" s="74">
        <f>O495+P495</f>
        <v>92400</v>
      </c>
      <c r="R495" s="113"/>
      <c r="S495" s="74">
        <f>Q495+R495</f>
        <v>92400</v>
      </c>
      <c r="T495" s="74">
        <f>R495+S495</f>
        <v>92400</v>
      </c>
      <c r="U495" s="56">
        <f t="shared" si="20"/>
        <v>100</v>
      </c>
    </row>
    <row r="496" spans="1:21" ht="38.25" customHeight="1">
      <c r="A496" s="9" t="s">
        <v>551</v>
      </c>
      <c r="B496" s="45" t="s">
        <v>125</v>
      </c>
      <c r="C496" s="45" t="s">
        <v>113</v>
      </c>
      <c r="D496" s="47"/>
      <c r="E496" s="47" t="s">
        <v>547</v>
      </c>
      <c r="F496" s="47"/>
      <c r="G496" s="74"/>
      <c r="H496" s="112"/>
      <c r="I496" s="74"/>
      <c r="J496" s="112"/>
      <c r="K496" s="74"/>
      <c r="L496" s="112"/>
      <c r="M496" s="74"/>
      <c r="N496" s="113"/>
      <c r="O496" s="74">
        <f>O497</f>
        <v>100000</v>
      </c>
      <c r="P496" s="113"/>
      <c r="Q496" s="74">
        <f>Q497</f>
        <v>100000</v>
      </c>
      <c r="R496" s="113"/>
      <c r="S496" s="74">
        <f>S497</f>
        <v>100000</v>
      </c>
      <c r="T496" s="74">
        <f>T497</f>
        <v>100000</v>
      </c>
      <c r="U496" s="56">
        <f t="shared" si="20"/>
        <v>100</v>
      </c>
    </row>
    <row r="497" spans="1:21" ht="15.75" customHeight="1">
      <c r="A497" s="9" t="s">
        <v>64</v>
      </c>
      <c r="B497" s="45" t="s">
        <v>125</v>
      </c>
      <c r="C497" s="45" t="s">
        <v>113</v>
      </c>
      <c r="D497" s="47"/>
      <c r="E497" s="47" t="s">
        <v>547</v>
      </c>
      <c r="F497" s="47" t="s">
        <v>63</v>
      </c>
      <c r="G497" s="74"/>
      <c r="H497" s="112"/>
      <c r="I497" s="74"/>
      <c r="J497" s="112"/>
      <c r="K497" s="74"/>
      <c r="L497" s="112"/>
      <c r="M497" s="74"/>
      <c r="N497" s="113">
        <v>100000</v>
      </c>
      <c r="O497" s="74">
        <f>M497+N497</f>
        <v>100000</v>
      </c>
      <c r="P497" s="113"/>
      <c r="Q497" s="74">
        <f>O497+P497</f>
        <v>100000</v>
      </c>
      <c r="R497" s="113"/>
      <c r="S497" s="74">
        <f>Q497+R497</f>
        <v>100000</v>
      </c>
      <c r="T497" s="74">
        <f>R497+S497</f>
        <v>100000</v>
      </c>
      <c r="U497" s="56">
        <f t="shared" si="20"/>
        <v>100</v>
      </c>
    </row>
    <row r="498" spans="1:21" ht="42" customHeight="1">
      <c r="A498" s="16" t="s">
        <v>74</v>
      </c>
      <c r="B498" s="45" t="s">
        <v>125</v>
      </c>
      <c r="C498" s="45" t="s">
        <v>113</v>
      </c>
      <c r="D498" s="47"/>
      <c r="E498" s="47" t="s">
        <v>548</v>
      </c>
      <c r="F498" s="47"/>
      <c r="G498" s="74"/>
      <c r="H498" s="112"/>
      <c r="I498" s="74"/>
      <c r="J498" s="112"/>
      <c r="K498" s="74"/>
      <c r="L498" s="112"/>
      <c r="M498" s="74"/>
      <c r="N498" s="113"/>
      <c r="O498" s="74">
        <f>O499</f>
        <v>50000</v>
      </c>
      <c r="P498" s="113"/>
      <c r="Q498" s="74">
        <f>Q499</f>
        <v>50000</v>
      </c>
      <c r="R498" s="113"/>
      <c r="S498" s="74">
        <f>S499</f>
        <v>50000</v>
      </c>
      <c r="T498" s="74">
        <f>T499</f>
        <v>50000</v>
      </c>
      <c r="U498" s="56">
        <f t="shared" si="20"/>
        <v>100</v>
      </c>
    </row>
    <row r="499" spans="1:21" ht="21.75" customHeight="1">
      <c r="A499" s="9" t="s">
        <v>64</v>
      </c>
      <c r="B499" s="45" t="s">
        <v>125</v>
      </c>
      <c r="C499" s="45" t="s">
        <v>113</v>
      </c>
      <c r="D499" s="47"/>
      <c r="E499" s="47" t="s">
        <v>548</v>
      </c>
      <c r="F499" s="47" t="s">
        <v>63</v>
      </c>
      <c r="G499" s="74"/>
      <c r="H499" s="112"/>
      <c r="I499" s="74"/>
      <c r="J499" s="112"/>
      <c r="K499" s="74"/>
      <c r="L499" s="112"/>
      <c r="M499" s="74"/>
      <c r="N499" s="113">
        <v>50000</v>
      </c>
      <c r="O499" s="74">
        <f>M499+N499</f>
        <v>50000</v>
      </c>
      <c r="P499" s="113"/>
      <c r="Q499" s="74">
        <f>O499+P499</f>
        <v>50000</v>
      </c>
      <c r="R499" s="113"/>
      <c r="S499" s="74">
        <f>Q499+R499</f>
        <v>50000</v>
      </c>
      <c r="T499" s="74">
        <f>R499+S499</f>
        <v>50000</v>
      </c>
      <c r="U499" s="56">
        <f t="shared" si="20"/>
        <v>100</v>
      </c>
    </row>
    <row r="500" spans="1:21" ht="32.25" customHeight="1">
      <c r="A500" s="32" t="s">
        <v>626</v>
      </c>
      <c r="B500" s="45">
        <v>908</v>
      </c>
      <c r="C500" s="45" t="s">
        <v>113</v>
      </c>
      <c r="D500" s="47" t="s">
        <v>629</v>
      </c>
      <c r="E500" s="47" t="s">
        <v>385</v>
      </c>
      <c r="F500" s="47"/>
      <c r="G500" s="61">
        <f>G501</f>
        <v>3933660</v>
      </c>
      <c r="H500" s="112"/>
      <c r="I500" s="61">
        <f>I501</f>
        <v>3933660</v>
      </c>
      <c r="J500" s="112"/>
      <c r="K500" s="75">
        <f>K501</f>
        <v>3933660</v>
      </c>
      <c r="L500" s="112"/>
      <c r="M500" s="75">
        <f>M501</f>
        <v>3933660</v>
      </c>
      <c r="N500" s="113"/>
      <c r="O500" s="75">
        <f>O501</f>
        <v>3933660</v>
      </c>
      <c r="P500" s="113"/>
      <c r="Q500" s="75">
        <f>Q501</f>
        <v>3933660</v>
      </c>
      <c r="R500" s="113"/>
      <c r="S500" s="75">
        <f>S501</f>
        <v>3699765.12</v>
      </c>
      <c r="T500" s="75">
        <f>T501</f>
        <v>3699453.29</v>
      </c>
      <c r="U500" s="56">
        <f t="shared" si="20"/>
        <v>100</v>
      </c>
    </row>
    <row r="501" spans="1:21" ht="20.25" customHeight="1">
      <c r="A501" s="9" t="s">
        <v>64</v>
      </c>
      <c r="B501" s="45">
        <v>908</v>
      </c>
      <c r="C501" s="45" t="s">
        <v>113</v>
      </c>
      <c r="D501" s="47" t="s">
        <v>629</v>
      </c>
      <c r="E501" s="47" t="s">
        <v>385</v>
      </c>
      <c r="F501" s="47" t="s">
        <v>63</v>
      </c>
      <c r="G501" s="74">
        <v>3933660</v>
      </c>
      <c r="H501" s="112"/>
      <c r="I501" s="74">
        <f>G501+H501</f>
        <v>3933660</v>
      </c>
      <c r="J501" s="112"/>
      <c r="K501" s="74">
        <f>I501+J501</f>
        <v>3933660</v>
      </c>
      <c r="L501" s="112"/>
      <c r="M501" s="74">
        <f>K501+L501</f>
        <v>3933660</v>
      </c>
      <c r="N501" s="113"/>
      <c r="O501" s="74">
        <f>M501+N501</f>
        <v>3933660</v>
      </c>
      <c r="P501" s="113"/>
      <c r="Q501" s="74">
        <f>O501+P501</f>
        <v>3933660</v>
      </c>
      <c r="R501" s="113">
        <f>-234206.71+311.83</f>
        <v>-233894.88</v>
      </c>
      <c r="S501" s="74">
        <f>Q501+R501</f>
        <v>3699765.12</v>
      </c>
      <c r="T501" s="74">
        <v>3699453.29</v>
      </c>
      <c r="U501" s="56">
        <f t="shared" si="20"/>
        <v>100</v>
      </c>
    </row>
    <row r="502" spans="1:21" ht="81.75" customHeight="1">
      <c r="A502" s="11" t="s">
        <v>627</v>
      </c>
      <c r="B502" s="45" t="s">
        <v>125</v>
      </c>
      <c r="C502" s="45" t="s">
        <v>113</v>
      </c>
      <c r="D502" s="47" t="s">
        <v>630</v>
      </c>
      <c r="E502" s="47" t="s">
        <v>386</v>
      </c>
      <c r="F502" s="47"/>
      <c r="G502" s="74">
        <f>G503</f>
        <v>3848663</v>
      </c>
      <c r="H502" s="112"/>
      <c r="I502" s="74">
        <f>I503</f>
        <v>3848663</v>
      </c>
      <c r="J502" s="112"/>
      <c r="K502" s="74">
        <f>K503</f>
        <v>8319740</v>
      </c>
      <c r="L502" s="112"/>
      <c r="M502" s="74">
        <f>M503</f>
        <v>8319740</v>
      </c>
      <c r="N502" s="113"/>
      <c r="O502" s="74">
        <f>O503</f>
        <v>8319740</v>
      </c>
      <c r="P502" s="113"/>
      <c r="Q502" s="74">
        <f>Q503</f>
        <v>8469740</v>
      </c>
      <c r="R502" s="113"/>
      <c r="S502" s="74">
        <f>S503</f>
        <v>8469740</v>
      </c>
      <c r="T502" s="74">
        <f>T503</f>
        <v>6592781.76</v>
      </c>
      <c r="U502" s="56">
        <f t="shared" si="20"/>
        <v>77.8</v>
      </c>
    </row>
    <row r="503" spans="1:21" ht="17.25" customHeight="1">
      <c r="A503" s="9" t="s">
        <v>64</v>
      </c>
      <c r="B503" s="45" t="s">
        <v>125</v>
      </c>
      <c r="C503" s="45" t="s">
        <v>113</v>
      </c>
      <c r="D503" s="47" t="s">
        <v>630</v>
      </c>
      <c r="E503" s="47" t="s">
        <v>386</v>
      </c>
      <c r="F503" s="47" t="s">
        <v>63</v>
      </c>
      <c r="G503" s="74">
        <v>3848663</v>
      </c>
      <c r="H503" s="112"/>
      <c r="I503" s="74">
        <f>G503+H503</f>
        <v>3848663</v>
      </c>
      <c r="J503" s="112">
        <f>-328923+4800000</f>
        <v>4471077</v>
      </c>
      <c r="K503" s="74">
        <f>I503+J503</f>
        <v>8319740</v>
      </c>
      <c r="L503" s="112"/>
      <c r="M503" s="74">
        <f>K503+L503</f>
        <v>8319740</v>
      </c>
      <c r="N503" s="113"/>
      <c r="O503" s="74">
        <f>M503+N503</f>
        <v>8319740</v>
      </c>
      <c r="P503" s="113">
        <v>150000</v>
      </c>
      <c r="Q503" s="74">
        <f>O503+P503</f>
        <v>8469740</v>
      </c>
      <c r="R503" s="113"/>
      <c r="S503" s="74">
        <f>Q503+R503</f>
        <v>8469740</v>
      </c>
      <c r="T503" s="74">
        <v>6592781.76</v>
      </c>
      <c r="U503" s="56">
        <f t="shared" si="20"/>
        <v>77.8</v>
      </c>
    </row>
    <row r="504" spans="1:21" ht="66" customHeight="1">
      <c r="A504" s="11" t="s">
        <v>639</v>
      </c>
      <c r="B504" s="45" t="s">
        <v>125</v>
      </c>
      <c r="C504" s="45" t="s">
        <v>172</v>
      </c>
      <c r="D504" s="45" t="s">
        <v>622</v>
      </c>
      <c r="E504" s="45" t="s">
        <v>381</v>
      </c>
      <c r="F504" s="45"/>
      <c r="G504" s="61">
        <f>G505+G508</f>
        <v>729880</v>
      </c>
      <c r="H504" s="112"/>
      <c r="I504" s="61">
        <f>I505+I508</f>
        <v>729880</v>
      </c>
      <c r="J504" s="112"/>
      <c r="K504" s="75">
        <f>K505+K508</f>
        <v>733880</v>
      </c>
      <c r="L504" s="112"/>
      <c r="M504" s="75">
        <f>M505+M508</f>
        <v>787074</v>
      </c>
      <c r="N504" s="113"/>
      <c r="O504" s="75">
        <f>O505+O508</f>
        <v>880774</v>
      </c>
      <c r="P504" s="113"/>
      <c r="Q504" s="75">
        <f>Q505+Q508</f>
        <v>880774</v>
      </c>
      <c r="R504" s="113"/>
      <c r="S504" s="75">
        <f>S505+S508</f>
        <v>920810.6</v>
      </c>
      <c r="T504" s="75">
        <f>T505+T508</f>
        <v>897126.4199999999</v>
      </c>
      <c r="U504" s="56">
        <f t="shared" si="20"/>
        <v>97.4</v>
      </c>
    </row>
    <row r="505" spans="1:21" ht="48" customHeight="1">
      <c r="A505" s="16" t="s">
        <v>81</v>
      </c>
      <c r="B505" s="45" t="s">
        <v>125</v>
      </c>
      <c r="C505" s="45" t="s">
        <v>172</v>
      </c>
      <c r="D505" s="45" t="s">
        <v>666</v>
      </c>
      <c r="E505" s="45" t="s">
        <v>382</v>
      </c>
      <c r="F505" s="45"/>
      <c r="G505" s="61">
        <f>G506</f>
        <v>250000</v>
      </c>
      <c r="H505" s="112"/>
      <c r="I505" s="61">
        <f>I506</f>
        <v>250000</v>
      </c>
      <c r="J505" s="112"/>
      <c r="K505" s="75">
        <f>K506</f>
        <v>250000</v>
      </c>
      <c r="L505" s="112"/>
      <c r="M505" s="75">
        <f>M506</f>
        <v>303194</v>
      </c>
      <c r="N505" s="113"/>
      <c r="O505" s="75">
        <f>O506</f>
        <v>396894</v>
      </c>
      <c r="P505" s="113"/>
      <c r="Q505" s="75">
        <f>Q506</f>
        <v>396894</v>
      </c>
      <c r="R505" s="113"/>
      <c r="S505" s="75">
        <f>S506</f>
        <v>340176.6</v>
      </c>
      <c r="T505" s="75">
        <f>T506</f>
        <v>328633.6</v>
      </c>
      <c r="U505" s="56">
        <f t="shared" si="20"/>
        <v>96.6</v>
      </c>
    </row>
    <row r="506" spans="1:21" ht="50.25" customHeight="1">
      <c r="A506" s="11" t="s">
        <v>628</v>
      </c>
      <c r="B506" s="45" t="s">
        <v>125</v>
      </c>
      <c r="C506" s="45" t="s">
        <v>172</v>
      </c>
      <c r="D506" s="47" t="s">
        <v>631</v>
      </c>
      <c r="E506" s="47" t="s">
        <v>387</v>
      </c>
      <c r="F506" s="45"/>
      <c r="G506" s="64">
        <f>G507</f>
        <v>250000</v>
      </c>
      <c r="H506" s="112"/>
      <c r="I506" s="64">
        <f>I507</f>
        <v>250000</v>
      </c>
      <c r="J506" s="112"/>
      <c r="K506" s="93">
        <f>K507</f>
        <v>250000</v>
      </c>
      <c r="L506" s="112"/>
      <c r="M506" s="93">
        <f>M507</f>
        <v>303194</v>
      </c>
      <c r="N506" s="113"/>
      <c r="O506" s="93">
        <f>O507</f>
        <v>396894</v>
      </c>
      <c r="P506" s="113"/>
      <c r="Q506" s="93">
        <f>Q507</f>
        <v>396894</v>
      </c>
      <c r="R506" s="113"/>
      <c r="S506" s="93">
        <f>S507</f>
        <v>340176.6</v>
      </c>
      <c r="T506" s="93">
        <f>T507</f>
        <v>328633.6</v>
      </c>
      <c r="U506" s="56">
        <f t="shared" si="20"/>
        <v>96.6</v>
      </c>
    </row>
    <row r="507" spans="1:21" ht="18" customHeight="1">
      <c r="A507" s="9" t="s">
        <v>64</v>
      </c>
      <c r="B507" s="45" t="s">
        <v>125</v>
      </c>
      <c r="C507" s="45" t="s">
        <v>172</v>
      </c>
      <c r="D507" s="47" t="s">
        <v>631</v>
      </c>
      <c r="E507" s="47" t="s">
        <v>387</v>
      </c>
      <c r="F507" s="45" t="s">
        <v>63</v>
      </c>
      <c r="G507" s="74">
        <v>250000</v>
      </c>
      <c r="H507" s="112"/>
      <c r="I507" s="74">
        <f>G507+H507</f>
        <v>250000</v>
      </c>
      <c r="J507" s="112"/>
      <c r="K507" s="74">
        <f>I507+J507</f>
        <v>250000</v>
      </c>
      <c r="L507" s="112">
        <f>13194+18000+12000+10000</f>
        <v>53194</v>
      </c>
      <c r="M507" s="74">
        <f>K507+L507</f>
        <v>303194</v>
      </c>
      <c r="N507" s="136">
        <v>93700</v>
      </c>
      <c r="O507" s="74">
        <f>M507+N507</f>
        <v>396894</v>
      </c>
      <c r="P507" s="113"/>
      <c r="Q507" s="74">
        <f>O507+P507</f>
        <v>396894</v>
      </c>
      <c r="R507" s="113">
        <v>-56717.4</v>
      </c>
      <c r="S507" s="74">
        <f>Q507+R507</f>
        <v>340176.6</v>
      </c>
      <c r="T507" s="74">
        <v>328633.6</v>
      </c>
      <c r="U507" s="56">
        <f t="shared" si="20"/>
        <v>96.6</v>
      </c>
    </row>
    <row r="508" spans="1:21" ht="84.75" customHeight="1">
      <c r="A508" s="11" t="s">
        <v>634</v>
      </c>
      <c r="B508" s="45">
        <v>908</v>
      </c>
      <c r="C508" s="45" t="s">
        <v>172</v>
      </c>
      <c r="D508" s="47" t="s">
        <v>636</v>
      </c>
      <c r="E508" s="47" t="s">
        <v>388</v>
      </c>
      <c r="F508" s="45"/>
      <c r="G508" s="60">
        <f>G509</f>
        <v>479880</v>
      </c>
      <c r="H508" s="112"/>
      <c r="I508" s="60">
        <f>I509</f>
        <v>479880</v>
      </c>
      <c r="J508" s="112"/>
      <c r="K508" s="74">
        <f>K509</f>
        <v>483880</v>
      </c>
      <c r="L508" s="112"/>
      <c r="M508" s="74">
        <f>M509</f>
        <v>483880</v>
      </c>
      <c r="N508" s="113"/>
      <c r="O508" s="74">
        <f>O509</f>
        <v>483880</v>
      </c>
      <c r="P508" s="113"/>
      <c r="Q508" s="74">
        <f>Q509</f>
        <v>483880</v>
      </c>
      <c r="R508" s="113"/>
      <c r="S508" s="74">
        <f>S509</f>
        <v>580634</v>
      </c>
      <c r="T508" s="74">
        <f>T509</f>
        <v>568492.82</v>
      </c>
      <c r="U508" s="56">
        <f t="shared" si="20"/>
        <v>97.9</v>
      </c>
    </row>
    <row r="509" spans="1:21" ht="48" customHeight="1">
      <c r="A509" s="33" t="s">
        <v>563</v>
      </c>
      <c r="B509" s="47" t="s">
        <v>125</v>
      </c>
      <c r="C509" s="47" t="s">
        <v>172</v>
      </c>
      <c r="D509" s="47" t="s">
        <v>635</v>
      </c>
      <c r="E509" s="47" t="s">
        <v>389</v>
      </c>
      <c r="F509" s="47"/>
      <c r="G509" s="60">
        <f>G510</f>
        <v>479880</v>
      </c>
      <c r="H509" s="112"/>
      <c r="I509" s="60">
        <f>I510</f>
        <v>479880</v>
      </c>
      <c r="J509" s="112"/>
      <c r="K509" s="74">
        <f>K510</f>
        <v>483880</v>
      </c>
      <c r="L509" s="112"/>
      <c r="M509" s="74">
        <f>M510</f>
        <v>483880</v>
      </c>
      <c r="N509" s="113"/>
      <c r="O509" s="74">
        <f>O510</f>
        <v>483880</v>
      </c>
      <c r="P509" s="113"/>
      <c r="Q509" s="74">
        <f>Q510</f>
        <v>483880</v>
      </c>
      <c r="R509" s="113"/>
      <c r="S509" s="74">
        <f>S510</f>
        <v>580634</v>
      </c>
      <c r="T509" s="74">
        <f>T510</f>
        <v>568492.82</v>
      </c>
      <c r="U509" s="56">
        <f t="shared" si="20"/>
        <v>97.9</v>
      </c>
    </row>
    <row r="510" spans="1:21" ht="30.75" customHeight="1">
      <c r="A510" s="33" t="s">
        <v>48</v>
      </c>
      <c r="B510" s="47" t="s">
        <v>125</v>
      </c>
      <c r="C510" s="47" t="s">
        <v>172</v>
      </c>
      <c r="D510" s="47" t="s">
        <v>635</v>
      </c>
      <c r="E510" s="47" t="s">
        <v>389</v>
      </c>
      <c r="F510" s="47" t="s">
        <v>67</v>
      </c>
      <c r="G510" s="74">
        <v>479880</v>
      </c>
      <c r="H510" s="112"/>
      <c r="I510" s="74">
        <f>G510+H510</f>
        <v>479880</v>
      </c>
      <c r="J510" s="112">
        <v>4000</v>
      </c>
      <c r="K510" s="74">
        <f>I510+J510</f>
        <v>483880</v>
      </c>
      <c r="L510" s="112"/>
      <c r="M510" s="74">
        <f>K510+L510</f>
        <v>483880</v>
      </c>
      <c r="N510" s="113"/>
      <c r="O510" s="74">
        <f>M510+N510</f>
        <v>483880</v>
      </c>
      <c r="P510" s="113"/>
      <c r="Q510" s="74">
        <f>O510+P510</f>
        <v>483880</v>
      </c>
      <c r="R510" s="113">
        <f>101039-4285</f>
        <v>96754</v>
      </c>
      <c r="S510" s="74">
        <f>Q510+R510</f>
        <v>580634</v>
      </c>
      <c r="T510" s="74">
        <v>568492.82</v>
      </c>
      <c r="U510" s="56">
        <f t="shared" si="20"/>
        <v>97.9</v>
      </c>
    </row>
    <row r="511" spans="1:21" ht="19.5" customHeight="1">
      <c r="A511" s="17" t="s">
        <v>156</v>
      </c>
      <c r="B511" s="47" t="s">
        <v>125</v>
      </c>
      <c r="C511" s="47" t="s">
        <v>126</v>
      </c>
      <c r="D511" s="47"/>
      <c r="E511" s="47"/>
      <c r="F511" s="47"/>
      <c r="G511" s="74"/>
      <c r="H511" s="112"/>
      <c r="I511" s="74"/>
      <c r="J511" s="112"/>
      <c r="K511" s="74"/>
      <c r="L511" s="112"/>
      <c r="M511" s="74"/>
      <c r="N511" s="113"/>
      <c r="O511" s="74"/>
      <c r="P511" s="113"/>
      <c r="Q511" s="74"/>
      <c r="R511" s="113"/>
      <c r="S511" s="74">
        <f aca="true" t="shared" si="22" ref="S511:T514">S512</f>
        <v>4285</v>
      </c>
      <c r="T511" s="74">
        <f t="shared" si="22"/>
        <v>4283.9</v>
      </c>
      <c r="U511" s="56">
        <f t="shared" si="20"/>
        <v>100</v>
      </c>
    </row>
    <row r="512" spans="1:21" ht="21" customHeight="1">
      <c r="A512" s="17" t="s">
        <v>157</v>
      </c>
      <c r="B512" s="47" t="s">
        <v>125</v>
      </c>
      <c r="C512" s="47" t="s">
        <v>140</v>
      </c>
      <c r="D512" s="47"/>
      <c r="E512" s="47"/>
      <c r="F512" s="47"/>
      <c r="G512" s="74"/>
      <c r="H512" s="112"/>
      <c r="I512" s="74"/>
      <c r="J512" s="112"/>
      <c r="K512" s="74"/>
      <c r="L512" s="112"/>
      <c r="M512" s="74"/>
      <c r="N512" s="113"/>
      <c r="O512" s="74"/>
      <c r="P512" s="113"/>
      <c r="Q512" s="74"/>
      <c r="R512" s="113"/>
      <c r="S512" s="74">
        <f t="shared" si="22"/>
        <v>4285</v>
      </c>
      <c r="T512" s="74">
        <f t="shared" si="22"/>
        <v>4283.9</v>
      </c>
      <c r="U512" s="56">
        <f t="shared" si="20"/>
        <v>100</v>
      </c>
    </row>
    <row r="513" spans="1:21" ht="16.5" customHeight="1">
      <c r="A513" s="16" t="s">
        <v>609</v>
      </c>
      <c r="B513" s="47" t="s">
        <v>125</v>
      </c>
      <c r="C513" s="47" t="s">
        <v>140</v>
      </c>
      <c r="D513" s="47" t="s">
        <v>571</v>
      </c>
      <c r="E513" s="47" t="s">
        <v>357</v>
      </c>
      <c r="F513" s="47"/>
      <c r="G513" s="74"/>
      <c r="H513" s="112"/>
      <c r="I513" s="74"/>
      <c r="J513" s="112"/>
      <c r="K513" s="74"/>
      <c r="L513" s="112"/>
      <c r="M513" s="74"/>
      <c r="N513" s="113"/>
      <c r="O513" s="74"/>
      <c r="P513" s="113"/>
      <c r="Q513" s="74"/>
      <c r="R513" s="113"/>
      <c r="S513" s="74">
        <f t="shared" si="22"/>
        <v>4285</v>
      </c>
      <c r="T513" s="74">
        <f t="shared" si="22"/>
        <v>4283.9</v>
      </c>
      <c r="U513" s="56">
        <f t="shared" si="20"/>
        <v>100</v>
      </c>
    </row>
    <row r="514" spans="1:21" ht="30.75" customHeight="1">
      <c r="A514" s="17" t="s">
        <v>287</v>
      </c>
      <c r="B514" s="47" t="s">
        <v>125</v>
      </c>
      <c r="C514" s="47" t="s">
        <v>140</v>
      </c>
      <c r="D514" s="47" t="s">
        <v>610</v>
      </c>
      <c r="E514" s="47" t="s">
        <v>286</v>
      </c>
      <c r="F514" s="47"/>
      <c r="G514" s="74"/>
      <c r="H514" s="112"/>
      <c r="I514" s="74"/>
      <c r="J514" s="112"/>
      <c r="K514" s="74"/>
      <c r="L514" s="112"/>
      <c r="M514" s="74"/>
      <c r="N514" s="113"/>
      <c r="O514" s="74"/>
      <c r="P514" s="113"/>
      <c r="Q514" s="74"/>
      <c r="R514" s="113"/>
      <c r="S514" s="74">
        <f t="shared" si="22"/>
        <v>4285</v>
      </c>
      <c r="T514" s="74">
        <f t="shared" si="22"/>
        <v>4283.9</v>
      </c>
      <c r="U514" s="56">
        <f t="shared" si="20"/>
        <v>100</v>
      </c>
    </row>
    <row r="515" spans="1:21" ht="30.75" customHeight="1">
      <c r="A515" s="17" t="s">
        <v>47</v>
      </c>
      <c r="B515" s="47" t="s">
        <v>125</v>
      </c>
      <c r="C515" s="47" t="s">
        <v>140</v>
      </c>
      <c r="D515" s="47" t="s">
        <v>555</v>
      </c>
      <c r="E515" s="47" t="s">
        <v>286</v>
      </c>
      <c r="F515" s="47" t="s">
        <v>72</v>
      </c>
      <c r="G515" s="74"/>
      <c r="H515" s="112"/>
      <c r="I515" s="74"/>
      <c r="J515" s="112"/>
      <c r="K515" s="74"/>
      <c r="L515" s="112"/>
      <c r="M515" s="74"/>
      <c r="N515" s="113"/>
      <c r="O515" s="74"/>
      <c r="P515" s="113"/>
      <c r="Q515" s="74"/>
      <c r="R515" s="113">
        <v>4285</v>
      </c>
      <c r="S515" s="74">
        <f>Q515+R515</f>
        <v>4285</v>
      </c>
      <c r="T515" s="74">
        <v>4283.9</v>
      </c>
      <c r="U515" s="56">
        <f t="shared" si="20"/>
        <v>100</v>
      </c>
    </row>
    <row r="516" spans="1:21" ht="31.5">
      <c r="A516" s="8" t="s">
        <v>181</v>
      </c>
      <c r="B516" s="44" t="s">
        <v>161</v>
      </c>
      <c r="C516" s="45"/>
      <c r="D516" s="45"/>
      <c r="E516" s="45"/>
      <c r="F516" s="45"/>
      <c r="G516" s="62">
        <f>G517+G530</f>
        <v>3638070</v>
      </c>
      <c r="H516" s="112"/>
      <c r="I516" s="62">
        <f>I517+I530</f>
        <v>3638070</v>
      </c>
      <c r="J516" s="112"/>
      <c r="K516" s="73">
        <f>K517+K530</f>
        <v>3738070</v>
      </c>
      <c r="L516" s="112"/>
      <c r="M516" s="73">
        <f>M517+M530</f>
        <v>3738070</v>
      </c>
      <c r="N516" s="113"/>
      <c r="O516" s="73">
        <f>O517+O530</f>
        <v>3898070</v>
      </c>
      <c r="P516" s="113"/>
      <c r="Q516" s="73">
        <f>Q517+Q530</f>
        <v>3877270</v>
      </c>
      <c r="R516" s="113"/>
      <c r="S516" s="73">
        <f>S517+S530</f>
        <v>3844791.27</v>
      </c>
      <c r="T516" s="73">
        <f>T517+T530</f>
        <v>3694240.67</v>
      </c>
      <c r="U516" s="72">
        <f t="shared" si="20"/>
        <v>96.1</v>
      </c>
    </row>
    <row r="517" spans="1:21" ht="15.75">
      <c r="A517" s="9" t="s">
        <v>141</v>
      </c>
      <c r="B517" s="45" t="s">
        <v>161</v>
      </c>
      <c r="C517" s="45" t="s">
        <v>89</v>
      </c>
      <c r="D517" s="45" t="s">
        <v>571</v>
      </c>
      <c r="E517" s="45" t="s">
        <v>357</v>
      </c>
      <c r="F517" s="44"/>
      <c r="G517" s="61">
        <f>G518+G522</f>
        <v>3087000</v>
      </c>
      <c r="H517" s="112"/>
      <c r="I517" s="61">
        <f>I518+I522</f>
        <v>3087000</v>
      </c>
      <c r="J517" s="112"/>
      <c r="K517" s="75">
        <f>K518+K522</f>
        <v>3187000</v>
      </c>
      <c r="L517" s="112"/>
      <c r="M517" s="75">
        <f>M518+M522</f>
        <v>3187000</v>
      </c>
      <c r="N517" s="113"/>
      <c r="O517" s="75">
        <f>O518+O522</f>
        <v>3347000</v>
      </c>
      <c r="P517" s="113"/>
      <c r="Q517" s="75">
        <f>Q518+Q522</f>
        <v>3275499</v>
      </c>
      <c r="R517" s="113"/>
      <c r="S517" s="75">
        <f>S518+S522</f>
        <v>3243020.27</v>
      </c>
      <c r="T517" s="75">
        <f>T518+T522</f>
        <v>3092469.95</v>
      </c>
      <c r="U517" s="56">
        <f t="shared" si="20"/>
        <v>95.4</v>
      </c>
    </row>
    <row r="518" spans="1:21" ht="52.5" customHeight="1">
      <c r="A518" s="14" t="s">
        <v>127</v>
      </c>
      <c r="B518" s="45" t="s">
        <v>161</v>
      </c>
      <c r="C518" s="45" t="s">
        <v>90</v>
      </c>
      <c r="D518" s="45" t="s">
        <v>642</v>
      </c>
      <c r="E518" s="45" t="s">
        <v>390</v>
      </c>
      <c r="F518" s="45"/>
      <c r="G518" s="61">
        <f>G519</f>
        <v>1284300</v>
      </c>
      <c r="H518" s="112"/>
      <c r="I518" s="61">
        <f>I519</f>
        <v>1284300</v>
      </c>
      <c r="J518" s="112"/>
      <c r="K518" s="75">
        <f>K519</f>
        <v>1284300</v>
      </c>
      <c r="L518" s="112"/>
      <c r="M518" s="75">
        <f>M519</f>
        <v>1284300</v>
      </c>
      <c r="N518" s="113"/>
      <c r="O518" s="75">
        <f>O519</f>
        <v>1284300</v>
      </c>
      <c r="P518" s="113"/>
      <c r="Q518" s="75">
        <f>Q519</f>
        <v>1628750</v>
      </c>
      <c r="R518" s="113"/>
      <c r="S518" s="75">
        <f aca="true" t="shared" si="23" ref="S518:T520">S519</f>
        <v>1620820.27</v>
      </c>
      <c r="T518" s="75">
        <f t="shared" si="23"/>
        <v>1620820.27</v>
      </c>
      <c r="U518" s="56">
        <f t="shared" si="20"/>
        <v>100</v>
      </c>
    </row>
    <row r="519" spans="1:21" ht="67.5" customHeight="1">
      <c r="A519" s="14" t="s">
        <v>128</v>
      </c>
      <c r="B519" s="45" t="s">
        <v>161</v>
      </c>
      <c r="C519" s="45" t="s">
        <v>90</v>
      </c>
      <c r="D519" s="45" t="s">
        <v>642</v>
      </c>
      <c r="E519" s="45" t="s">
        <v>390</v>
      </c>
      <c r="F519" s="45"/>
      <c r="G519" s="61">
        <f>G520</f>
        <v>1284300</v>
      </c>
      <c r="H519" s="112"/>
      <c r="I519" s="61">
        <f>I520</f>
        <v>1284300</v>
      </c>
      <c r="J519" s="112"/>
      <c r="K519" s="75">
        <f>K520</f>
        <v>1284300</v>
      </c>
      <c r="L519" s="112"/>
      <c r="M519" s="75">
        <f>M520</f>
        <v>1284300</v>
      </c>
      <c r="N519" s="113"/>
      <c r="O519" s="75">
        <f>O520</f>
        <v>1284300</v>
      </c>
      <c r="P519" s="113"/>
      <c r="Q519" s="75">
        <f>Q520</f>
        <v>1628750</v>
      </c>
      <c r="R519" s="113"/>
      <c r="S519" s="75">
        <f t="shared" si="23"/>
        <v>1620820.27</v>
      </c>
      <c r="T519" s="75">
        <f t="shared" si="23"/>
        <v>1620820.27</v>
      </c>
      <c r="U519" s="56">
        <f t="shared" si="20"/>
        <v>100</v>
      </c>
    </row>
    <row r="520" spans="1:21" ht="18" customHeight="1">
      <c r="A520" s="14" t="s">
        <v>129</v>
      </c>
      <c r="B520" s="45" t="s">
        <v>161</v>
      </c>
      <c r="C520" s="45" t="s">
        <v>90</v>
      </c>
      <c r="D520" s="45" t="s">
        <v>642</v>
      </c>
      <c r="E520" s="45" t="s">
        <v>390</v>
      </c>
      <c r="F520" s="45"/>
      <c r="G520" s="60">
        <f>G521</f>
        <v>1284300</v>
      </c>
      <c r="H520" s="112"/>
      <c r="I520" s="60">
        <f>I521</f>
        <v>1284300</v>
      </c>
      <c r="J520" s="112"/>
      <c r="K520" s="74">
        <f>K521</f>
        <v>1284300</v>
      </c>
      <c r="L520" s="112"/>
      <c r="M520" s="74">
        <f>M521</f>
        <v>1284300</v>
      </c>
      <c r="N520" s="113"/>
      <c r="O520" s="74">
        <f>O521</f>
        <v>1284300</v>
      </c>
      <c r="P520" s="113"/>
      <c r="Q520" s="74">
        <f>Q521</f>
        <v>1628750</v>
      </c>
      <c r="R520" s="113"/>
      <c r="S520" s="74">
        <f t="shared" si="23"/>
        <v>1620820.27</v>
      </c>
      <c r="T520" s="74">
        <f t="shared" si="23"/>
        <v>1620820.27</v>
      </c>
      <c r="U520" s="56">
        <f t="shared" si="20"/>
        <v>100</v>
      </c>
    </row>
    <row r="521" spans="1:21" ht="32.25" customHeight="1">
      <c r="A521" s="33" t="s">
        <v>48</v>
      </c>
      <c r="B521" s="45" t="s">
        <v>161</v>
      </c>
      <c r="C521" s="45" t="s">
        <v>90</v>
      </c>
      <c r="D521" s="45" t="s">
        <v>642</v>
      </c>
      <c r="E521" s="45" t="s">
        <v>390</v>
      </c>
      <c r="F521" s="45" t="s">
        <v>67</v>
      </c>
      <c r="G521" s="74">
        <v>1284300</v>
      </c>
      <c r="H521" s="112"/>
      <c r="I521" s="74">
        <f>G521+H521</f>
        <v>1284300</v>
      </c>
      <c r="J521" s="112"/>
      <c r="K521" s="74">
        <f>I521+J521</f>
        <v>1284300</v>
      </c>
      <c r="L521" s="112"/>
      <c r="M521" s="74">
        <f>K521+L521</f>
        <v>1284300</v>
      </c>
      <c r="N521" s="113"/>
      <c r="O521" s="74">
        <f>M521+N521</f>
        <v>1284300</v>
      </c>
      <c r="P521" s="113">
        <f>365250-62800+42000</f>
        <v>344450</v>
      </c>
      <c r="Q521" s="74">
        <f>O521+P521</f>
        <v>1628750</v>
      </c>
      <c r="R521" s="113">
        <v>-7929.73</v>
      </c>
      <c r="S521" s="74">
        <f>Q521+R521</f>
        <v>1620820.27</v>
      </c>
      <c r="T521" s="74">
        <v>1620820.27</v>
      </c>
      <c r="U521" s="56">
        <f t="shared" si="20"/>
        <v>100</v>
      </c>
    </row>
    <row r="522" spans="1:21" ht="65.25" customHeight="1">
      <c r="A522" s="9" t="s">
        <v>130</v>
      </c>
      <c r="B522" s="45" t="s">
        <v>161</v>
      </c>
      <c r="C522" s="45" t="s">
        <v>91</v>
      </c>
      <c r="D522" s="45" t="s">
        <v>571</v>
      </c>
      <c r="E522" s="45" t="s">
        <v>357</v>
      </c>
      <c r="F522" s="44"/>
      <c r="G522" s="61">
        <f>G523+G528</f>
        <v>1802700</v>
      </c>
      <c r="H522" s="112"/>
      <c r="I522" s="61">
        <f>I523+I528</f>
        <v>1802700</v>
      </c>
      <c r="J522" s="112"/>
      <c r="K522" s="75">
        <f>K523+K528</f>
        <v>1902700</v>
      </c>
      <c r="L522" s="112"/>
      <c r="M522" s="75">
        <f>M523+M528</f>
        <v>1902700</v>
      </c>
      <c r="N522" s="113"/>
      <c r="O522" s="75">
        <f>O523+O528</f>
        <v>2062700</v>
      </c>
      <c r="P522" s="113"/>
      <c r="Q522" s="75">
        <f>Q523+Q528</f>
        <v>1646749</v>
      </c>
      <c r="R522" s="113"/>
      <c r="S522" s="75">
        <f>S523+S528</f>
        <v>1622200</v>
      </c>
      <c r="T522" s="75">
        <f>T523+T528</f>
        <v>1471649.68</v>
      </c>
      <c r="U522" s="56">
        <f t="shared" si="20"/>
        <v>90.7</v>
      </c>
    </row>
    <row r="523" spans="1:21" ht="33.75" customHeight="1">
      <c r="A523" s="9" t="s">
        <v>128</v>
      </c>
      <c r="B523" s="45" t="s">
        <v>161</v>
      </c>
      <c r="C523" s="45" t="s">
        <v>91</v>
      </c>
      <c r="D523" s="45" t="s">
        <v>229</v>
      </c>
      <c r="E523" s="45" t="s">
        <v>391</v>
      </c>
      <c r="F523" s="45"/>
      <c r="G523" s="61">
        <f>G524</f>
        <v>1653700</v>
      </c>
      <c r="H523" s="112"/>
      <c r="I523" s="61">
        <f>I524</f>
        <v>1653700</v>
      </c>
      <c r="J523" s="112"/>
      <c r="K523" s="75">
        <f>K524</f>
        <v>1753700</v>
      </c>
      <c r="L523" s="112"/>
      <c r="M523" s="75">
        <f>M524</f>
        <v>1753700</v>
      </c>
      <c r="N523" s="113"/>
      <c r="O523" s="75">
        <f>O524</f>
        <v>1913700</v>
      </c>
      <c r="P523" s="113"/>
      <c r="Q523" s="75">
        <f>Q524</f>
        <v>1646749</v>
      </c>
      <c r="R523" s="113"/>
      <c r="S523" s="75">
        <f>S524</f>
        <v>1622200</v>
      </c>
      <c r="T523" s="75">
        <f>T524</f>
        <v>1471649.68</v>
      </c>
      <c r="U523" s="56">
        <f t="shared" si="20"/>
        <v>90.7</v>
      </c>
    </row>
    <row r="524" spans="1:21" ht="15.75">
      <c r="A524" s="9" t="s">
        <v>142</v>
      </c>
      <c r="B524" s="45" t="s">
        <v>161</v>
      </c>
      <c r="C524" s="45" t="s">
        <v>91</v>
      </c>
      <c r="D524" s="45" t="s">
        <v>229</v>
      </c>
      <c r="E524" s="45" t="s">
        <v>391</v>
      </c>
      <c r="F524" s="45"/>
      <c r="G524" s="61">
        <f>G525+G526</f>
        <v>1653700</v>
      </c>
      <c r="H524" s="112"/>
      <c r="I524" s="61">
        <f>I525+I526</f>
        <v>1653700</v>
      </c>
      <c r="J524" s="112"/>
      <c r="K524" s="75">
        <f>K525+K526</f>
        <v>1753700</v>
      </c>
      <c r="L524" s="112"/>
      <c r="M524" s="75">
        <f>M525+M526</f>
        <v>1753700</v>
      </c>
      <c r="N524" s="113"/>
      <c r="O524" s="75">
        <f>O525+O526</f>
        <v>1913700</v>
      </c>
      <c r="P524" s="113"/>
      <c r="Q524" s="75">
        <f>Q525+Q526</f>
        <v>1646749</v>
      </c>
      <c r="R524" s="113"/>
      <c r="S524" s="75">
        <f>S525+S526+S527</f>
        <v>1622200</v>
      </c>
      <c r="T524" s="75">
        <f>T525+T526+T527</f>
        <v>1471649.68</v>
      </c>
      <c r="U524" s="56">
        <f t="shared" si="20"/>
        <v>90.7</v>
      </c>
    </row>
    <row r="525" spans="1:21" ht="31.5">
      <c r="A525" s="33" t="s">
        <v>48</v>
      </c>
      <c r="B525" s="45" t="s">
        <v>161</v>
      </c>
      <c r="C525" s="45" t="s">
        <v>91</v>
      </c>
      <c r="D525" s="45" t="s">
        <v>229</v>
      </c>
      <c r="E525" s="45" t="s">
        <v>391</v>
      </c>
      <c r="F525" s="45" t="s">
        <v>67</v>
      </c>
      <c r="G525" s="75">
        <v>1460900</v>
      </c>
      <c r="H525" s="112"/>
      <c r="I525" s="75">
        <f>G525+H525</f>
        <v>1460900</v>
      </c>
      <c r="J525" s="112"/>
      <c r="K525" s="75">
        <f>I525+J525</f>
        <v>1460900</v>
      </c>
      <c r="L525" s="112"/>
      <c r="M525" s="75">
        <f>K525+L525</f>
        <v>1460900</v>
      </c>
      <c r="N525" s="113"/>
      <c r="O525" s="75">
        <f>M525+N525</f>
        <v>1460900</v>
      </c>
      <c r="P525" s="113">
        <v>-226000</v>
      </c>
      <c r="Q525" s="75">
        <f>O525+P525</f>
        <v>1234900</v>
      </c>
      <c r="R525" s="113"/>
      <c r="S525" s="75">
        <f>Q525+R525</f>
        <v>1234900</v>
      </c>
      <c r="T525" s="75">
        <v>1230857.95</v>
      </c>
      <c r="U525" s="56">
        <f aca="true" t="shared" si="24" ref="U525:U567">IF(S525=0,"-",IF(T525/S525*100&gt;110,"свыше 100",ROUND((T525/S525*100),1)))</f>
        <v>99.7</v>
      </c>
    </row>
    <row r="526" spans="1:21" ht="31.5" customHeight="1">
      <c r="A526" s="94" t="s">
        <v>69</v>
      </c>
      <c r="B526" s="45" t="s">
        <v>161</v>
      </c>
      <c r="C526" s="45" t="s">
        <v>91</v>
      </c>
      <c r="D526" s="45" t="s">
        <v>229</v>
      </c>
      <c r="E526" s="45" t="s">
        <v>391</v>
      </c>
      <c r="F526" s="45" t="s">
        <v>59</v>
      </c>
      <c r="G526" s="74">
        <v>192800</v>
      </c>
      <c r="H526" s="112"/>
      <c r="I526" s="75">
        <f>G526+H526</f>
        <v>192800</v>
      </c>
      <c r="J526" s="112">
        <v>100000</v>
      </c>
      <c r="K526" s="75">
        <f>I526+J526</f>
        <v>292800</v>
      </c>
      <c r="L526" s="112"/>
      <c r="M526" s="75">
        <f>K526+L526</f>
        <v>292800</v>
      </c>
      <c r="N526" s="113">
        <v>160000</v>
      </c>
      <c r="O526" s="75">
        <f>M526+N526</f>
        <v>452800</v>
      </c>
      <c r="P526" s="113">
        <v>-40951</v>
      </c>
      <c r="Q526" s="75">
        <f>O526+P526</f>
        <v>411849</v>
      </c>
      <c r="R526" s="113">
        <v>-24749</v>
      </c>
      <c r="S526" s="75">
        <f>Q526+R526</f>
        <v>387100</v>
      </c>
      <c r="T526" s="75">
        <v>240591.73</v>
      </c>
      <c r="U526" s="56">
        <f t="shared" si="24"/>
        <v>62.2</v>
      </c>
    </row>
    <row r="527" spans="1:21" ht="31.5" customHeight="1">
      <c r="A527" s="103" t="s">
        <v>62</v>
      </c>
      <c r="B527" s="45" t="s">
        <v>161</v>
      </c>
      <c r="C527" s="45" t="s">
        <v>91</v>
      </c>
      <c r="D527" s="45" t="s">
        <v>229</v>
      </c>
      <c r="E527" s="45" t="s">
        <v>391</v>
      </c>
      <c r="F527" s="45" t="s">
        <v>61</v>
      </c>
      <c r="G527" s="74"/>
      <c r="H527" s="112"/>
      <c r="I527" s="75"/>
      <c r="J527" s="112"/>
      <c r="K527" s="75"/>
      <c r="L527" s="112"/>
      <c r="M527" s="75"/>
      <c r="N527" s="113"/>
      <c r="O527" s="75"/>
      <c r="P527" s="113"/>
      <c r="Q527" s="75"/>
      <c r="R527" s="113">
        <v>200</v>
      </c>
      <c r="S527" s="75">
        <f>Q527+R527</f>
        <v>200</v>
      </c>
      <c r="T527" s="75">
        <v>200</v>
      </c>
      <c r="U527" s="56">
        <f t="shared" si="24"/>
        <v>100</v>
      </c>
    </row>
    <row r="528" spans="1:21" ht="82.5" customHeight="1" hidden="1">
      <c r="A528" s="9" t="s">
        <v>690</v>
      </c>
      <c r="B528" s="45" t="s">
        <v>161</v>
      </c>
      <c r="C528" s="45" t="s">
        <v>91</v>
      </c>
      <c r="D528" s="45" t="s">
        <v>686</v>
      </c>
      <c r="E528" s="45" t="s">
        <v>392</v>
      </c>
      <c r="F528" s="45"/>
      <c r="G528" s="64">
        <f>G529</f>
        <v>149000</v>
      </c>
      <c r="H528" s="112"/>
      <c r="I528" s="64">
        <f>I529</f>
        <v>149000</v>
      </c>
      <c r="J528" s="112"/>
      <c r="K528" s="93">
        <f>K529</f>
        <v>149000</v>
      </c>
      <c r="L528" s="112"/>
      <c r="M528" s="93">
        <f>M529</f>
        <v>149000</v>
      </c>
      <c r="N528" s="113"/>
      <c r="O528" s="93">
        <f>O529</f>
        <v>149000</v>
      </c>
      <c r="P528" s="113"/>
      <c r="Q528" s="93">
        <f>Q529</f>
        <v>0</v>
      </c>
      <c r="R528" s="113"/>
      <c r="S528" s="93">
        <f>S529</f>
        <v>0</v>
      </c>
      <c r="T528" s="93">
        <f>T529</f>
        <v>0</v>
      </c>
      <c r="U528" s="56" t="str">
        <f t="shared" si="24"/>
        <v>-</v>
      </c>
    </row>
    <row r="529" spans="1:21" ht="32.25" customHeight="1" hidden="1">
      <c r="A529" s="11" t="s">
        <v>48</v>
      </c>
      <c r="B529" s="45" t="s">
        <v>161</v>
      </c>
      <c r="C529" s="45" t="s">
        <v>91</v>
      </c>
      <c r="D529" s="45" t="s">
        <v>686</v>
      </c>
      <c r="E529" s="45" t="s">
        <v>392</v>
      </c>
      <c r="F529" s="45" t="s">
        <v>67</v>
      </c>
      <c r="G529" s="93">
        <v>149000</v>
      </c>
      <c r="H529" s="112"/>
      <c r="I529" s="93">
        <f>G529+H529</f>
        <v>149000</v>
      </c>
      <c r="J529" s="112"/>
      <c r="K529" s="93">
        <f>I529+J529</f>
        <v>149000</v>
      </c>
      <c r="L529" s="112"/>
      <c r="M529" s="93">
        <f>K529+L529</f>
        <v>149000</v>
      </c>
      <c r="N529" s="113"/>
      <c r="O529" s="93">
        <f>M529+N529</f>
        <v>149000</v>
      </c>
      <c r="P529" s="113">
        <v>-149000</v>
      </c>
      <c r="Q529" s="93">
        <f>O529+P529</f>
        <v>0</v>
      </c>
      <c r="R529" s="113"/>
      <c r="S529" s="93">
        <f>Q529+R529</f>
        <v>0</v>
      </c>
      <c r="T529" s="93">
        <f>R529+S529</f>
        <v>0</v>
      </c>
      <c r="U529" s="56" t="str">
        <f t="shared" si="24"/>
        <v>-</v>
      </c>
    </row>
    <row r="530" spans="1:21" s="1" customFormat="1" ht="19.5" customHeight="1">
      <c r="A530" s="17" t="s">
        <v>156</v>
      </c>
      <c r="B530" s="47" t="s">
        <v>161</v>
      </c>
      <c r="C530" s="47" t="s">
        <v>126</v>
      </c>
      <c r="D530" s="47"/>
      <c r="E530" s="47"/>
      <c r="F530" s="47"/>
      <c r="G530" s="60">
        <f>G531</f>
        <v>551070</v>
      </c>
      <c r="H530" s="112"/>
      <c r="I530" s="60">
        <f>I531</f>
        <v>551070</v>
      </c>
      <c r="J530" s="112"/>
      <c r="K530" s="74">
        <f>K531</f>
        <v>551070</v>
      </c>
      <c r="L530" s="112"/>
      <c r="M530" s="74">
        <f>M531</f>
        <v>551070</v>
      </c>
      <c r="N530" s="113"/>
      <c r="O530" s="74">
        <f>O531</f>
        <v>551070</v>
      </c>
      <c r="P530" s="117"/>
      <c r="Q530" s="74">
        <f>Q531</f>
        <v>601771</v>
      </c>
      <c r="R530" s="117"/>
      <c r="S530" s="74">
        <f aca="true" t="shared" si="25" ref="S530:T533">S531</f>
        <v>601771</v>
      </c>
      <c r="T530" s="74">
        <f t="shared" si="25"/>
        <v>601770.72</v>
      </c>
      <c r="U530" s="56">
        <f t="shared" si="24"/>
        <v>100</v>
      </c>
    </row>
    <row r="531" spans="1:21" s="1" customFormat="1" ht="19.5" customHeight="1">
      <c r="A531" s="17" t="s">
        <v>157</v>
      </c>
      <c r="B531" s="47" t="s">
        <v>161</v>
      </c>
      <c r="C531" s="47" t="s">
        <v>140</v>
      </c>
      <c r="D531" s="47"/>
      <c r="E531" s="47"/>
      <c r="F531" s="47"/>
      <c r="G531" s="60">
        <f>G532</f>
        <v>551070</v>
      </c>
      <c r="H531" s="112"/>
      <c r="I531" s="60">
        <f>I532</f>
        <v>551070</v>
      </c>
      <c r="J531" s="112"/>
      <c r="K531" s="74">
        <f>K532</f>
        <v>551070</v>
      </c>
      <c r="L531" s="112"/>
      <c r="M531" s="74">
        <f>M532</f>
        <v>551070</v>
      </c>
      <c r="N531" s="113"/>
      <c r="O531" s="74">
        <f>O532</f>
        <v>551070</v>
      </c>
      <c r="P531" s="117"/>
      <c r="Q531" s="74">
        <f>Q532</f>
        <v>601771</v>
      </c>
      <c r="R531" s="117"/>
      <c r="S531" s="74">
        <f t="shared" si="25"/>
        <v>601771</v>
      </c>
      <c r="T531" s="74">
        <f t="shared" si="25"/>
        <v>601770.72</v>
      </c>
      <c r="U531" s="56">
        <f t="shared" si="24"/>
        <v>100</v>
      </c>
    </row>
    <row r="532" spans="1:21" ht="19.5" customHeight="1">
      <c r="A532" s="16" t="s">
        <v>609</v>
      </c>
      <c r="B532" s="47" t="s">
        <v>161</v>
      </c>
      <c r="C532" s="47" t="s">
        <v>140</v>
      </c>
      <c r="D532" s="47" t="s">
        <v>571</v>
      </c>
      <c r="E532" s="47" t="s">
        <v>357</v>
      </c>
      <c r="F532" s="47"/>
      <c r="G532" s="63">
        <f>G533</f>
        <v>551070</v>
      </c>
      <c r="H532" s="112"/>
      <c r="I532" s="63">
        <f>I533</f>
        <v>551070</v>
      </c>
      <c r="J532" s="112"/>
      <c r="K532" s="91">
        <f>K533</f>
        <v>551070</v>
      </c>
      <c r="L532" s="112"/>
      <c r="M532" s="91">
        <f>M533</f>
        <v>551070</v>
      </c>
      <c r="N532" s="113"/>
      <c r="O532" s="91">
        <f>O533</f>
        <v>551070</v>
      </c>
      <c r="P532" s="113"/>
      <c r="Q532" s="91">
        <f>Q533</f>
        <v>601771</v>
      </c>
      <c r="R532" s="113"/>
      <c r="S532" s="91">
        <f t="shared" si="25"/>
        <v>601771</v>
      </c>
      <c r="T532" s="91">
        <f t="shared" si="25"/>
        <v>601770.72</v>
      </c>
      <c r="U532" s="56">
        <f t="shared" si="24"/>
        <v>100</v>
      </c>
    </row>
    <row r="533" spans="1:21" ht="18" customHeight="1">
      <c r="A533" s="17" t="s">
        <v>287</v>
      </c>
      <c r="B533" s="47" t="s">
        <v>161</v>
      </c>
      <c r="C533" s="47" t="s">
        <v>140</v>
      </c>
      <c r="D533" s="47" t="s">
        <v>610</v>
      </c>
      <c r="E533" s="47" t="s">
        <v>286</v>
      </c>
      <c r="F533" s="47"/>
      <c r="G533" s="63">
        <f>G534</f>
        <v>551070</v>
      </c>
      <c r="H533" s="112"/>
      <c r="I533" s="63">
        <f>I534</f>
        <v>551070</v>
      </c>
      <c r="J533" s="112"/>
      <c r="K533" s="91">
        <f>K534</f>
        <v>551070</v>
      </c>
      <c r="L533" s="112"/>
      <c r="M533" s="91">
        <f>M534</f>
        <v>551070</v>
      </c>
      <c r="N533" s="113"/>
      <c r="O533" s="91">
        <f>O534</f>
        <v>551070</v>
      </c>
      <c r="P533" s="113"/>
      <c r="Q533" s="91">
        <f>Q534</f>
        <v>601771</v>
      </c>
      <c r="R533" s="113"/>
      <c r="S533" s="91">
        <f t="shared" si="25"/>
        <v>601771</v>
      </c>
      <c r="T533" s="91">
        <f t="shared" si="25"/>
        <v>601770.72</v>
      </c>
      <c r="U533" s="56">
        <f t="shared" si="24"/>
        <v>100</v>
      </c>
    </row>
    <row r="534" spans="1:21" ht="32.25" customHeight="1">
      <c r="A534" s="17" t="s">
        <v>47</v>
      </c>
      <c r="B534" s="47" t="s">
        <v>161</v>
      </c>
      <c r="C534" s="47" t="s">
        <v>140</v>
      </c>
      <c r="D534" s="47" t="s">
        <v>555</v>
      </c>
      <c r="E534" s="47" t="s">
        <v>286</v>
      </c>
      <c r="F534" s="47" t="s">
        <v>72</v>
      </c>
      <c r="G534" s="91">
        <v>551070</v>
      </c>
      <c r="H534" s="112"/>
      <c r="I534" s="91">
        <f>G534+H534</f>
        <v>551070</v>
      </c>
      <c r="J534" s="112"/>
      <c r="K534" s="91">
        <f>I534+J534</f>
        <v>551070</v>
      </c>
      <c r="L534" s="112"/>
      <c r="M534" s="91">
        <f>K534+L534</f>
        <v>551070</v>
      </c>
      <c r="N534" s="113"/>
      <c r="O534" s="91">
        <f>M534+N534</f>
        <v>551070</v>
      </c>
      <c r="P534" s="113">
        <v>50701</v>
      </c>
      <c r="Q534" s="91">
        <f>O534+P534</f>
        <v>601771</v>
      </c>
      <c r="R534" s="113"/>
      <c r="S534" s="91">
        <f>Q534+R534</f>
        <v>601771</v>
      </c>
      <c r="T534" s="91">
        <v>601770.72</v>
      </c>
      <c r="U534" s="56">
        <f t="shared" si="24"/>
        <v>100</v>
      </c>
    </row>
    <row r="535" spans="1:21" ht="47.25">
      <c r="A535" s="8" t="s">
        <v>180</v>
      </c>
      <c r="B535" s="44" t="s">
        <v>164</v>
      </c>
      <c r="C535" s="44"/>
      <c r="D535" s="45"/>
      <c r="E535" s="45"/>
      <c r="F535" s="45"/>
      <c r="G535" s="62">
        <f>G536</f>
        <v>1710090</v>
      </c>
      <c r="H535" s="112"/>
      <c r="I535" s="62">
        <f>I536</f>
        <v>1710090</v>
      </c>
      <c r="J535" s="112"/>
      <c r="K535" s="73">
        <f>K536</f>
        <v>1720090</v>
      </c>
      <c r="L535" s="112"/>
      <c r="M535" s="73">
        <f>M536</f>
        <v>1720090</v>
      </c>
      <c r="N535" s="113"/>
      <c r="O535" s="73">
        <f>O536</f>
        <v>1750090</v>
      </c>
      <c r="P535" s="113"/>
      <c r="Q535" s="73">
        <f>Q536</f>
        <v>1771590</v>
      </c>
      <c r="R535" s="113"/>
      <c r="S535" s="73">
        <f>S536</f>
        <v>1771590</v>
      </c>
      <c r="T535" s="73">
        <f>T536</f>
        <v>1714897.78</v>
      </c>
      <c r="U535" s="72">
        <f t="shared" si="24"/>
        <v>96.8</v>
      </c>
    </row>
    <row r="536" spans="1:21" ht="63" customHeight="1">
      <c r="A536" s="9" t="s">
        <v>288</v>
      </c>
      <c r="B536" s="45" t="s">
        <v>164</v>
      </c>
      <c r="C536" s="45" t="s">
        <v>93</v>
      </c>
      <c r="D536" s="45" t="s">
        <v>571</v>
      </c>
      <c r="E536" s="45" t="s">
        <v>357</v>
      </c>
      <c r="F536" s="45"/>
      <c r="G536" s="60">
        <f>G537+G541</f>
        <v>1710090</v>
      </c>
      <c r="H536" s="112"/>
      <c r="I536" s="60">
        <f>I537+I541</f>
        <v>1710090</v>
      </c>
      <c r="J536" s="112"/>
      <c r="K536" s="74">
        <f>K537+K541</f>
        <v>1720090</v>
      </c>
      <c r="L536" s="112"/>
      <c r="M536" s="74">
        <f>M537+M541</f>
        <v>1720090</v>
      </c>
      <c r="N536" s="113"/>
      <c r="O536" s="74">
        <f>O537+O541</f>
        <v>1750090</v>
      </c>
      <c r="P536" s="113"/>
      <c r="Q536" s="74">
        <f>Q537+Q541</f>
        <v>1771590</v>
      </c>
      <c r="R536" s="113"/>
      <c r="S536" s="74">
        <f>S537+S541</f>
        <v>1771590</v>
      </c>
      <c r="T536" s="74">
        <f>T537+T541</f>
        <v>1714897.78</v>
      </c>
      <c r="U536" s="56">
        <f t="shared" si="24"/>
        <v>96.8</v>
      </c>
    </row>
    <row r="537" spans="1:21" ht="32.25" customHeight="1">
      <c r="A537" s="9" t="s">
        <v>128</v>
      </c>
      <c r="B537" s="45" t="s">
        <v>164</v>
      </c>
      <c r="C537" s="45" t="s">
        <v>93</v>
      </c>
      <c r="D537" s="45" t="s">
        <v>229</v>
      </c>
      <c r="E537" s="45" t="s">
        <v>391</v>
      </c>
      <c r="F537" s="45"/>
      <c r="G537" s="63">
        <f>G538</f>
        <v>986335</v>
      </c>
      <c r="H537" s="112"/>
      <c r="I537" s="63">
        <f>I538</f>
        <v>986335</v>
      </c>
      <c r="J537" s="112"/>
      <c r="K537" s="91">
        <f>K538</f>
        <v>996335</v>
      </c>
      <c r="L537" s="112"/>
      <c r="M537" s="91">
        <f>M538</f>
        <v>998435</v>
      </c>
      <c r="N537" s="113"/>
      <c r="O537" s="91">
        <f>O538</f>
        <v>1028435</v>
      </c>
      <c r="P537" s="113"/>
      <c r="Q537" s="91">
        <f>Q538</f>
        <v>1047935</v>
      </c>
      <c r="R537" s="113"/>
      <c r="S537" s="91">
        <f>S538</f>
        <v>1047935</v>
      </c>
      <c r="T537" s="91">
        <f>T538</f>
        <v>995177.12</v>
      </c>
      <c r="U537" s="56">
        <f t="shared" si="24"/>
        <v>95</v>
      </c>
    </row>
    <row r="538" spans="1:21" ht="20.25" customHeight="1">
      <c r="A538" s="9" t="s">
        <v>142</v>
      </c>
      <c r="B538" s="45" t="s">
        <v>164</v>
      </c>
      <c r="C538" s="45" t="s">
        <v>93</v>
      </c>
      <c r="D538" s="45" t="s">
        <v>229</v>
      </c>
      <c r="E538" s="45" t="s">
        <v>391</v>
      </c>
      <c r="F538" s="45"/>
      <c r="G538" s="63">
        <f>G539+G540</f>
        <v>986335</v>
      </c>
      <c r="H538" s="112"/>
      <c r="I538" s="63">
        <f>I539+I540</f>
        <v>986335</v>
      </c>
      <c r="J538" s="112"/>
      <c r="K538" s="91">
        <f>K539+K540</f>
        <v>996335</v>
      </c>
      <c r="L538" s="112"/>
      <c r="M538" s="91">
        <f>M539+M540</f>
        <v>998435</v>
      </c>
      <c r="N538" s="113"/>
      <c r="O538" s="91">
        <f>O539+O540</f>
        <v>1028435</v>
      </c>
      <c r="P538" s="113"/>
      <c r="Q538" s="91">
        <f>Q539+Q540</f>
        <v>1047935</v>
      </c>
      <c r="R538" s="113"/>
      <c r="S538" s="91">
        <f>S539+S540</f>
        <v>1047935</v>
      </c>
      <c r="T538" s="91">
        <f>T539+T540</f>
        <v>995177.12</v>
      </c>
      <c r="U538" s="56">
        <f t="shared" si="24"/>
        <v>95</v>
      </c>
    </row>
    <row r="539" spans="1:21" ht="31.5" customHeight="1">
      <c r="A539" s="27" t="s">
        <v>48</v>
      </c>
      <c r="B539" s="45" t="s">
        <v>164</v>
      </c>
      <c r="C539" s="45" t="s">
        <v>93</v>
      </c>
      <c r="D539" s="45" t="s">
        <v>229</v>
      </c>
      <c r="E539" s="45" t="s">
        <v>391</v>
      </c>
      <c r="F539" s="45" t="s">
        <v>67</v>
      </c>
      <c r="G539" s="91">
        <v>960185</v>
      </c>
      <c r="H539" s="112">
        <v>11000</v>
      </c>
      <c r="I539" s="91">
        <f>G539+H539</f>
        <v>971185</v>
      </c>
      <c r="J539" s="112"/>
      <c r="K539" s="91">
        <f>I539+J539</f>
        <v>971185</v>
      </c>
      <c r="L539" s="112">
        <v>2100</v>
      </c>
      <c r="M539" s="91">
        <f>K539+L539</f>
        <v>973285</v>
      </c>
      <c r="N539" s="113"/>
      <c r="O539" s="91">
        <f>M539+N539</f>
        <v>973285</v>
      </c>
      <c r="P539" s="113">
        <f>-3000+19500-270</f>
        <v>16230</v>
      </c>
      <c r="Q539" s="91">
        <f>O539+P539</f>
        <v>989515</v>
      </c>
      <c r="R539" s="113"/>
      <c r="S539" s="91">
        <f>Q539+R539</f>
        <v>989515</v>
      </c>
      <c r="T539" s="91">
        <v>980647.67</v>
      </c>
      <c r="U539" s="56">
        <f t="shared" si="24"/>
        <v>99.1</v>
      </c>
    </row>
    <row r="540" spans="1:21" ht="31.5">
      <c r="A540" s="94" t="s">
        <v>69</v>
      </c>
      <c r="B540" s="45" t="s">
        <v>164</v>
      </c>
      <c r="C540" s="45" t="s">
        <v>93</v>
      </c>
      <c r="D540" s="45" t="s">
        <v>229</v>
      </c>
      <c r="E540" s="45" t="s">
        <v>391</v>
      </c>
      <c r="F540" s="45" t="s">
        <v>59</v>
      </c>
      <c r="G540" s="74">
        <v>26150</v>
      </c>
      <c r="H540" s="112">
        <v>-11000</v>
      </c>
      <c r="I540" s="91">
        <f>G540+H540</f>
        <v>15150</v>
      </c>
      <c r="J540" s="112">
        <v>10000</v>
      </c>
      <c r="K540" s="91">
        <f>I540+J540</f>
        <v>25150</v>
      </c>
      <c r="L540" s="112"/>
      <c r="M540" s="91">
        <f>K540+L540</f>
        <v>25150</v>
      </c>
      <c r="N540" s="113">
        <v>30000</v>
      </c>
      <c r="O540" s="91">
        <f>M540+N540</f>
        <v>55150</v>
      </c>
      <c r="P540" s="113">
        <v>3270</v>
      </c>
      <c r="Q540" s="91">
        <f>O540+P540</f>
        <v>58420</v>
      </c>
      <c r="R540" s="113"/>
      <c r="S540" s="91">
        <f>Q540+R540</f>
        <v>58420</v>
      </c>
      <c r="T540" s="91">
        <v>14529.45</v>
      </c>
      <c r="U540" s="56">
        <f t="shared" si="24"/>
        <v>24.9</v>
      </c>
    </row>
    <row r="541" spans="1:21" ht="47.25">
      <c r="A541" s="9" t="s">
        <v>131</v>
      </c>
      <c r="B541" s="45" t="s">
        <v>164</v>
      </c>
      <c r="C541" s="45" t="s">
        <v>93</v>
      </c>
      <c r="D541" s="45" t="s">
        <v>230</v>
      </c>
      <c r="E541" s="45" t="s">
        <v>393</v>
      </c>
      <c r="F541" s="45"/>
      <c r="G541" s="63">
        <f>G542</f>
        <v>723755</v>
      </c>
      <c r="H541" s="112"/>
      <c r="I541" s="63">
        <f>I542</f>
        <v>723755</v>
      </c>
      <c r="J541" s="112"/>
      <c r="K541" s="91">
        <f>K542</f>
        <v>723755</v>
      </c>
      <c r="L541" s="112"/>
      <c r="M541" s="91">
        <f>M542</f>
        <v>721655</v>
      </c>
      <c r="N541" s="113"/>
      <c r="O541" s="91">
        <f>O542</f>
        <v>721655</v>
      </c>
      <c r="P541" s="113"/>
      <c r="Q541" s="91">
        <f>Q542</f>
        <v>723655</v>
      </c>
      <c r="R541" s="113"/>
      <c r="S541" s="91">
        <f>S542</f>
        <v>723655</v>
      </c>
      <c r="T541" s="91">
        <f>T542</f>
        <v>719720.66</v>
      </c>
      <c r="U541" s="56">
        <f t="shared" si="24"/>
        <v>99.5</v>
      </c>
    </row>
    <row r="542" spans="1:21" ht="31.5">
      <c r="A542" s="27" t="s">
        <v>48</v>
      </c>
      <c r="B542" s="45" t="s">
        <v>164</v>
      </c>
      <c r="C542" s="45" t="s">
        <v>93</v>
      </c>
      <c r="D542" s="45" t="s">
        <v>230</v>
      </c>
      <c r="E542" s="45" t="s">
        <v>393</v>
      </c>
      <c r="F542" s="53" t="s">
        <v>67</v>
      </c>
      <c r="G542" s="91">
        <v>723755</v>
      </c>
      <c r="H542" s="112"/>
      <c r="I542" s="91">
        <f>G542+H542</f>
        <v>723755</v>
      </c>
      <c r="J542" s="112"/>
      <c r="K542" s="91">
        <f>I542+J542</f>
        <v>723755</v>
      </c>
      <c r="L542" s="112">
        <v>-2100</v>
      </c>
      <c r="M542" s="91">
        <f>K542+L542</f>
        <v>721655</v>
      </c>
      <c r="N542" s="113"/>
      <c r="O542" s="91">
        <f>M542+N542</f>
        <v>721655</v>
      </c>
      <c r="P542" s="113">
        <f>3000+2000-3000</f>
        <v>2000</v>
      </c>
      <c r="Q542" s="91">
        <f>O542+P542</f>
        <v>723655</v>
      </c>
      <c r="R542" s="113"/>
      <c r="S542" s="91">
        <f>Q542+R542</f>
        <v>723655</v>
      </c>
      <c r="T542" s="91">
        <v>719720.66</v>
      </c>
      <c r="U542" s="56">
        <f t="shared" si="24"/>
        <v>99.5</v>
      </c>
    </row>
    <row r="543" spans="1:21" ht="47.25">
      <c r="A543" s="30" t="s">
        <v>179</v>
      </c>
      <c r="B543" s="54" t="s">
        <v>178</v>
      </c>
      <c r="C543" s="53"/>
      <c r="D543" s="53"/>
      <c r="E543" s="53"/>
      <c r="F543" s="53"/>
      <c r="G543" s="65">
        <f>G544+G552+G562</f>
        <v>7097760</v>
      </c>
      <c r="H543" s="112"/>
      <c r="I543" s="65">
        <f>I544+I552+I562</f>
        <v>7097760</v>
      </c>
      <c r="J543" s="112"/>
      <c r="K543" s="125">
        <f>K544+K552+K562</f>
        <v>7097760</v>
      </c>
      <c r="L543" s="112"/>
      <c r="M543" s="125">
        <f>M544+M552+M562</f>
        <v>6906667</v>
      </c>
      <c r="N543" s="113"/>
      <c r="O543" s="125">
        <f>O544+O552+O562</f>
        <v>6906667</v>
      </c>
      <c r="P543" s="113"/>
      <c r="Q543" s="125">
        <f>Q544+Q552+Q562</f>
        <v>7133876</v>
      </c>
      <c r="R543" s="113"/>
      <c r="S543" s="125">
        <f>S544+S552+S562</f>
        <v>7133876</v>
      </c>
      <c r="T543" s="125">
        <f>T544+T552+T562</f>
        <v>6439113.54</v>
      </c>
      <c r="U543" s="72">
        <f t="shared" si="24"/>
        <v>90.3</v>
      </c>
    </row>
    <row r="544" spans="1:21" ht="62.25" customHeight="1">
      <c r="A544" s="12" t="s">
        <v>647</v>
      </c>
      <c r="B544" s="45" t="s">
        <v>178</v>
      </c>
      <c r="C544" s="45" t="s">
        <v>93</v>
      </c>
      <c r="D544" s="45" t="s">
        <v>648</v>
      </c>
      <c r="E544" s="45" t="s">
        <v>394</v>
      </c>
      <c r="F544" s="45"/>
      <c r="G544" s="63">
        <f>G545</f>
        <v>7047450</v>
      </c>
      <c r="H544" s="112"/>
      <c r="I544" s="63">
        <f>I545</f>
        <v>7047450</v>
      </c>
      <c r="J544" s="112"/>
      <c r="K544" s="91">
        <f>K545</f>
        <v>7047450</v>
      </c>
      <c r="L544" s="112"/>
      <c r="M544" s="91">
        <f>M545</f>
        <v>6856357</v>
      </c>
      <c r="N544" s="113"/>
      <c r="O544" s="91">
        <f>O545</f>
        <v>6856357</v>
      </c>
      <c r="P544" s="113"/>
      <c r="Q544" s="91">
        <f>Q545</f>
        <v>7123826</v>
      </c>
      <c r="R544" s="113"/>
      <c r="S544" s="91">
        <f>S545</f>
        <v>7124826</v>
      </c>
      <c r="T544" s="91">
        <f>T545</f>
        <v>6434300.33</v>
      </c>
      <c r="U544" s="56">
        <f t="shared" si="24"/>
        <v>90.3</v>
      </c>
    </row>
    <row r="545" spans="1:21" ht="66" customHeight="1">
      <c r="A545" s="11" t="s">
        <v>644</v>
      </c>
      <c r="B545" s="45" t="s">
        <v>178</v>
      </c>
      <c r="C545" s="45" t="s">
        <v>93</v>
      </c>
      <c r="D545" s="45" t="s">
        <v>674</v>
      </c>
      <c r="E545" s="45" t="s">
        <v>395</v>
      </c>
      <c r="F545" s="45"/>
      <c r="G545" s="63">
        <f>G546+G550</f>
        <v>7047450</v>
      </c>
      <c r="H545" s="112"/>
      <c r="I545" s="63">
        <f>I546+I550</f>
        <v>7047450</v>
      </c>
      <c r="J545" s="112"/>
      <c r="K545" s="91">
        <f>K546+K550</f>
        <v>7047450</v>
      </c>
      <c r="L545" s="112"/>
      <c r="M545" s="91">
        <f>M546+M550</f>
        <v>6856357</v>
      </c>
      <c r="N545" s="113"/>
      <c r="O545" s="91">
        <f>O546+O550</f>
        <v>6856357</v>
      </c>
      <c r="P545" s="113"/>
      <c r="Q545" s="91">
        <f>Q546+Q550</f>
        <v>7123826</v>
      </c>
      <c r="R545" s="113"/>
      <c r="S545" s="91">
        <f>S546+S550</f>
        <v>7124826</v>
      </c>
      <c r="T545" s="91">
        <f>T546+T550</f>
        <v>6434300.33</v>
      </c>
      <c r="U545" s="56">
        <f t="shared" si="24"/>
        <v>90.3</v>
      </c>
    </row>
    <row r="546" spans="1:21" ht="15.75">
      <c r="A546" s="9" t="s">
        <v>142</v>
      </c>
      <c r="B546" s="45" t="s">
        <v>178</v>
      </c>
      <c r="C546" s="45" t="s">
        <v>93</v>
      </c>
      <c r="D546" s="45" t="s">
        <v>643</v>
      </c>
      <c r="E546" s="45" t="s">
        <v>396</v>
      </c>
      <c r="F546" s="45"/>
      <c r="G546" s="63">
        <f>G547+G548+G549</f>
        <v>6921700</v>
      </c>
      <c r="H546" s="112"/>
      <c r="I546" s="63">
        <f>I547+I548+I549</f>
        <v>6921700</v>
      </c>
      <c r="J546" s="112"/>
      <c r="K546" s="91">
        <f>K547+K548+K549</f>
        <v>6921700</v>
      </c>
      <c r="L546" s="112"/>
      <c r="M546" s="91">
        <f>M547+M548+M549</f>
        <v>6730607</v>
      </c>
      <c r="N546" s="113"/>
      <c r="O546" s="91">
        <f>O547+O548+O549</f>
        <v>6730607</v>
      </c>
      <c r="P546" s="113"/>
      <c r="Q546" s="91">
        <f>Q547+Q548+Q549</f>
        <v>7123826</v>
      </c>
      <c r="R546" s="113"/>
      <c r="S546" s="91">
        <f>S547+S548+S549</f>
        <v>7124826</v>
      </c>
      <c r="T546" s="91">
        <f>T547+T548+T549</f>
        <v>6434300.33</v>
      </c>
      <c r="U546" s="56">
        <f t="shared" si="24"/>
        <v>90.3</v>
      </c>
    </row>
    <row r="547" spans="1:21" ht="38.25" customHeight="1">
      <c r="A547" s="27" t="s">
        <v>48</v>
      </c>
      <c r="B547" s="45" t="s">
        <v>178</v>
      </c>
      <c r="C547" s="45" t="s">
        <v>93</v>
      </c>
      <c r="D547" s="45" t="s">
        <v>643</v>
      </c>
      <c r="E547" s="45" t="s">
        <v>396</v>
      </c>
      <c r="F547" s="45" t="s">
        <v>67</v>
      </c>
      <c r="G547" s="91">
        <v>6019800</v>
      </c>
      <c r="H547" s="112"/>
      <c r="I547" s="91">
        <f>G547+H547</f>
        <v>6019800</v>
      </c>
      <c r="J547" s="112">
        <v>20000</v>
      </c>
      <c r="K547" s="91">
        <f>I547+J547</f>
        <v>6039800</v>
      </c>
      <c r="L547" s="112"/>
      <c r="M547" s="91">
        <f>K547+L547</f>
        <v>6039800</v>
      </c>
      <c r="N547" s="113">
        <v>-191093</v>
      </c>
      <c r="O547" s="91">
        <f>M547+N547</f>
        <v>5848707</v>
      </c>
      <c r="P547" s="113">
        <v>-269000</v>
      </c>
      <c r="Q547" s="91">
        <f>O547+P547</f>
        <v>5579707</v>
      </c>
      <c r="R547" s="113">
        <v>-13689</v>
      </c>
      <c r="S547" s="91">
        <f>Q547+R547</f>
        <v>5566018</v>
      </c>
      <c r="T547" s="91">
        <v>5547969.19</v>
      </c>
      <c r="U547" s="56">
        <f t="shared" si="24"/>
        <v>99.7</v>
      </c>
    </row>
    <row r="548" spans="1:21" ht="30.75" customHeight="1">
      <c r="A548" s="94" t="s">
        <v>69</v>
      </c>
      <c r="B548" s="45" t="s">
        <v>178</v>
      </c>
      <c r="C548" s="45" t="s">
        <v>93</v>
      </c>
      <c r="D548" s="45" t="s">
        <v>643</v>
      </c>
      <c r="E548" s="45" t="s">
        <v>396</v>
      </c>
      <c r="F548" s="45" t="s">
        <v>59</v>
      </c>
      <c r="G548" s="74">
        <v>901300</v>
      </c>
      <c r="H548" s="112"/>
      <c r="I548" s="91">
        <f>G548+H548</f>
        <v>901300</v>
      </c>
      <c r="J548" s="112">
        <v>-20000</v>
      </c>
      <c r="K548" s="91">
        <f>I548+J548</f>
        <v>881300</v>
      </c>
      <c r="L548" s="112">
        <v>-191093</v>
      </c>
      <c r="M548" s="91">
        <f>K548+L548</f>
        <v>690207</v>
      </c>
      <c r="N548" s="113">
        <v>191093</v>
      </c>
      <c r="O548" s="91">
        <f>M548+N548</f>
        <v>881300</v>
      </c>
      <c r="P548" s="113">
        <v>662219</v>
      </c>
      <c r="Q548" s="91">
        <f>O548+P548</f>
        <v>1543519</v>
      </c>
      <c r="R548" s="113">
        <v>15289</v>
      </c>
      <c r="S548" s="91">
        <f>Q548+R548</f>
        <v>1558808</v>
      </c>
      <c r="T548" s="91">
        <v>886331.14</v>
      </c>
      <c r="U548" s="56">
        <f t="shared" si="24"/>
        <v>56.9</v>
      </c>
    </row>
    <row r="549" spans="1:21" ht="0.75" customHeight="1">
      <c r="A549" s="9" t="s">
        <v>62</v>
      </c>
      <c r="B549" s="45" t="s">
        <v>178</v>
      </c>
      <c r="C549" s="45" t="s">
        <v>93</v>
      </c>
      <c r="D549" s="45" t="s">
        <v>643</v>
      </c>
      <c r="E549" s="45" t="s">
        <v>396</v>
      </c>
      <c r="F549" s="45" t="s">
        <v>61</v>
      </c>
      <c r="G549" s="74">
        <v>600</v>
      </c>
      <c r="H549" s="112"/>
      <c r="I549" s="91">
        <f>G549+H549</f>
        <v>600</v>
      </c>
      <c r="J549" s="112"/>
      <c r="K549" s="91">
        <f>I549+J549</f>
        <v>600</v>
      </c>
      <c r="L549" s="112"/>
      <c r="M549" s="91">
        <f>K549+L549</f>
        <v>600</v>
      </c>
      <c r="N549" s="113"/>
      <c r="O549" s="91">
        <f>M549+N549</f>
        <v>600</v>
      </c>
      <c r="P549" s="113"/>
      <c r="Q549" s="91">
        <f>O549+P549</f>
        <v>600</v>
      </c>
      <c r="R549" s="113">
        <v>-600</v>
      </c>
      <c r="S549" s="91">
        <f>Q549+R549</f>
        <v>0</v>
      </c>
      <c r="T549" s="91">
        <v>0</v>
      </c>
      <c r="U549" s="56" t="str">
        <f t="shared" si="24"/>
        <v>-</v>
      </c>
    </row>
    <row r="550" spans="1:21" ht="33.75" customHeight="1" hidden="1">
      <c r="A550" s="11" t="s">
        <v>691</v>
      </c>
      <c r="B550" s="45" t="s">
        <v>178</v>
      </c>
      <c r="C550" s="45" t="s">
        <v>93</v>
      </c>
      <c r="D550" s="45" t="s">
        <v>692</v>
      </c>
      <c r="E550" s="45" t="s">
        <v>397</v>
      </c>
      <c r="F550" s="45"/>
      <c r="G550" s="64">
        <f>G551</f>
        <v>125750</v>
      </c>
      <c r="H550" s="112"/>
      <c r="I550" s="64">
        <f>I551</f>
        <v>125750</v>
      </c>
      <c r="J550" s="112"/>
      <c r="K550" s="93">
        <f>K551</f>
        <v>125750</v>
      </c>
      <c r="L550" s="112"/>
      <c r="M550" s="93">
        <f>M551</f>
        <v>125750</v>
      </c>
      <c r="N550" s="113"/>
      <c r="O550" s="93">
        <f>O551</f>
        <v>125750</v>
      </c>
      <c r="P550" s="113"/>
      <c r="Q550" s="93">
        <f>Q551</f>
        <v>0</v>
      </c>
      <c r="R550" s="113"/>
      <c r="S550" s="93">
        <f>S551</f>
        <v>0</v>
      </c>
      <c r="T550" s="93">
        <f>T551</f>
        <v>0</v>
      </c>
      <c r="U550" s="56" t="str">
        <f t="shared" si="24"/>
        <v>-</v>
      </c>
    </row>
    <row r="551" spans="1:21" ht="33.75" customHeight="1" hidden="1">
      <c r="A551" s="27" t="s">
        <v>48</v>
      </c>
      <c r="B551" s="45" t="s">
        <v>178</v>
      </c>
      <c r="C551" s="45" t="s">
        <v>93</v>
      </c>
      <c r="D551" s="45" t="s">
        <v>692</v>
      </c>
      <c r="E551" s="45" t="s">
        <v>397</v>
      </c>
      <c r="F551" s="45" t="s">
        <v>67</v>
      </c>
      <c r="G551" s="93">
        <v>125750</v>
      </c>
      <c r="H551" s="112"/>
      <c r="I551" s="93">
        <f>G551+H551</f>
        <v>125750</v>
      </c>
      <c r="J551" s="112"/>
      <c r="K551" s="93">
        <f>I551+J551</f>
        <v>125750</v>
      </c>
      <c r="L551" s="112"/>
      <c r="M551" s="93">
        <f>K551+L551</f>
        <v>125750</v>
      </c>
      <c r="N551" s="113"/>
      <c r="O551" s="93">
        <f>M551+N551</f>
        <v>125750</v>
      </c>
      <c r="P551" s="113">
        <v>-125750</v>
      </c>
      <c r="Q551" s="93">
        <f>O551+P551</f>
        <v>0</v>
      </c>
      <c r="R551" s="113"/>
      <c r="S551" s="93">
        <f>Q551+R551</f>
        <v>0</v>
      </c>
      <c r="T551" s="93">
        <f>R551+S551</f>
        <v>0</v>
      </c>
      <c r="U551" s="56" t="str">
        <f t="shared" si="24"/>
        <v>-</v>
      </c>
    </row>
    <row r="552" spans="1:21" ht="63">
      <c r="A552" s="12" t="s">
        <v>647</v>
      </c>
      <c r="B552" s="47" t="s">
        <v>178</v>
      </c>
      <c r="C552" s="47" t="s">
        <v>176</v>
      </c>
      <c r="D552" s="47" t="s">
        <v>648</v>
      </c>
      <c r="E552" s="47" t="s">
        <v>394</v>
      </c>
      <c r="F552" s="47"/>
      <c r="G552" s="61">
        <f>G553</f>
        <v>4050</v>
      </c>
      <c r="H552" s="112"/>
      <c r="I552" s="61">
        <f>I553</f>
        <v>4050</v>
      </c>
      <c r="J552" s="112"/>
      <c r="K552" s="75">
        <f>K553</f>
        <v>4050</v>
      </c>
      <c r="L552" s="112"/>
      <c r="M552" s="75">
        <f>M553</f>
        <v>4050</v>
      </c>
      <c r="N552" s="113"/>
      <c r="O552" s="75">
        <f>O553</f>
        <v>4050</v>
      </c>
      <c r="P552" s="113"/>
      <c r="Q552" s="75">
        <f>Q553</f>
        <v>4050</v>
      </c>
      <c r="R552" s="113"/>
      <c r="S552" s="75">
        <f>S553</f>
        <v>3050</v>
      </c>
      <c r="T552" s="75">
        <f>T553</f>
        <v>2773.68</v>
      </c>
      <c r="U552" s="56">
        <f t="shared" si="24"/>
        <v>90.9</v>
      </c>
    </row>
    <row r="553" spans="1:21" ht="31.5">
      <c r="A553" s="12" t="s">
        <v>649</v>
      </c>
      <c r="B553" s="47" t="s">
        <v>178</v>
      </c>
      <c r="C553" s="47" t="s">
        <v>177</v>
      </c>
      <c r="D553" s="45" t="s">
        <v>675</v>
      </c>
      <c r="E553" s="45" t="s">
        <v>398</v>
      </c>
      <c r="F553" s="45"/>
      <c r="G553" s="61">
        <f>G554</f>
        <v>4050</v>
      </c>
      <c r="H553" s="112"/>
      <c r="I553" s="61">
        <f>I554</f>
        <v>4050</v>
      </c>
      <c r="J553" s="112"/>
      <c r="K553" s="75">
        <f>K554</f>
        <v>4050</v>
      </c>
      <c r="L553" s="112"/>
      <c r="M553" s="75">
        <f>M554</f>
        <v>4050</v>
      </c>
      <c r="N553" s="113"/>
      <c r="O553" s="75">
        <f>O554</f>
        <v>4050</v>
      </c>
      <c r="P553" s="113"/>
      <c r="Q553" s="75">
        <f>Q554</f>
        <v>4050</v>
      </c>
      <c r="R553" s="113"/>
      <c r="S553" s="75">
        <f>S554</f>
        <v>3050</v>
      </c>
      <c r="T553" s="75">
        <f>T554</f>
        <v>2773.68</v>
      </c>
      <c r="U553" s="56">
        <f t="shared" si="24"/>
        <v>90.9</v>
      </c>
    </row>
    <row r="554" spans="1:21" ht="30" customHeight="1">
      <c r="A554" s="11" t="s">
        <v>191</v>
      </c>
      <c r="B554" s="47" t="s">
        <v>178</v>
      </c>
      <c r="C554" s="47" t="s">
        <v>177</v>
      </c>
      <c r="D554" s="45" t="s">
        <v>664</v>
      </c>
      <c r="E554" s="45" t="s">
        <v>398</v>
      </c>
      <c r="F554" s="45" t="s">
        <v>217</v>
      </c>
      <c r="G554" s="74">
        <v>4050</v>
      </c>
      <c r="H554" s="112"/>
      <c r="I554" s="74">
        <f>G554+H554</f>
        <v>4050</v>
      </c>
      <c r="J554" s="112"/>
      <c r="K554" s="74">
        <f>I554+J554</f>
        <v>4050</v>
      </c>
      <c r="L554" s="112"/>
      <c r="M554" s="74">
        <f>K554+L554</f>
        <v>4050</v>
      </c>
      <c r="N554" s="113"/>
      <c r="O554" s="74">
        <f>M554+N554</f>
        <v>4050</v>
      </c>
      <c r="P554" s="113"/>
      <c r="Q554" s="74">
        <f>O554+P554</f>
        <v>4050</v>
      </c>
      <c r="R554" s="113">
        <v>-1000</v>
      </c>
      <c r="S554" s="74">
        <f>Q554+R554</f>
        <v>3050</v>
      </c>
      <c r="T554" s="74">
        <v>2773.68</v>
      </c>
      <c r="U554" s="56">
        <f t="shared" si="24"/>
        <v>90.9</v>
      </c>
    </row>
    <row r="555" spans="1:21" ht="0.75" customHeight="1" hidden="1">
      <c r="A555" s="8"/>
      <c r="B555" s="51"/>
      <c r="C555" s="51"/>
      <c r="D555" s="51"/>
      <c r="E555" s="51"/>
      <c r="F555" s="51"/>
      <c r="G555" s="59"/>
      <c r="H555" s="112"/>
      <c r="I555" s="59"/>
      <c r="J555" s="112"/>
      <c r="K555" s="126"/>
      <c r="L555" s="112"/>
      <c r="M555" s="126"/>
      <c r="N555" s="113"/>
      <c r="O555" s="126"/>
      <c r="P555" s="113"/>
      <c r="Q555" s="126"/>
      <c r="R555" s="113"/>
      <c r="S555" s="126"/>
      <c r="T555" s="126"/>
      <c r="U555" s="56" t="str">
        <f t="shared" si="24"/>
        <v>-</v>
      </c>
    </row>
    <row r="556" spans="1:21" ht="15.75" customHeight="1" hidden="1">
      <c r="A556" s="9"/>
      <c r="B556" s="45"/>
      <c r="C556" s="45"/>
      <c r="D556" s="45"/>
      <c r="E556" s="45"/>
      <c r="F556" s="45"/>
      <c r="G556" s="59"/>
      <c r="H556" s="77"/>
      <c r="I556" s="59"/>
      <c r="J556" s="77"/>
      <c r="K556" s="126"/>
      <c r="L556" s="77"/>
      <c r="M556" s="126"/>
      <c r="N556" s="117"/>
      <c r="O556" s="126"/>
      <c r="P556" s="113"/>
      <c r="Q556" s="126"/>
      <c r="R556" s="113"/>
      <c r="S556" s="126"/>
      <c r="T556" s="126"/>
      <c r="U556" s="56" t="str">
        <f t="shared" si="24"/>
        <v>-</v>
      </c>
    </row>
    <row r="557" spans="1:21" ht="18" customHeight="1" hidden="1">
      <c r="A557" s="9"/>
      <c r="B557" s="45"/>
      <c r="C557" s="45"/>
      <c r="D557" s="45"/>
      <c r="E557" s="45"/>
      <c r="F557" s="45"/>
      <c r="G557" s="59"/>
      <c r="H557" s="77"/>
      <c r="I557" s="59"/>
      <c r="J557" s="77"/>
      <c r="K557" s="126"/>
      <c r="L557" s="77"/>
      <c r="M557" s="126"/>
      <c r="N557" s="117"/>
      <c r="O557" s="126"/>
      <c r="P557" s="113"/>
      <c r="Q557" s="126"/>
      <c r="R557" s="113"/>
      <c r="S557" s="126"/>
      <c r="T557" s="126"/>
      <c r="U557" s="56" t="str">
        <f t="shared" si="24"/>
        <v>-</v>
      </c>
    </row>
    <row r="558" spans="1:21" ht="15" customHeight="1" hidden="1">
      <c r="A558" s="9"/>
      <c r="B558" s="45"/>
      <c r="C558" s="45"/>
      <c r="D558" s="45"/>
      <c r="E558" s="45"/>
      <c r="F558" s="45"/>
      <c r="G558" s="59"/>
      <c r="H558" s="112"/>
      <c r="I558" s="59"/>
      <c r="J558" s="112"/>
      <c r="K558" s="126"/>
      <c r="L558" s="112"/>
      <c r="M558" s="126"/>
      <c r="N558" s="113"/>
      <c r="O558" s="126"/>
      <c r="P558" s="113"/>
      <c r="Q558" s="126"/>
      <c r="R558" s="113"/>
      <c r="S558" s="126"/>
      <c r="T558" s="126"/>
      <c r="U558" s="56" t="str">
        <f t="shared" si="24"/>
        <v>-</v>
      </c>
    </row>
    <row r="559" spans="1:21" ht="17.25" customHeight="1" hidden="1">
      <c r="A559" s="9"/>
      <c r="B559" s="45"/>
      <c r="C559" s="45"/>
      <c r="D559" s="45"/>
      <c r="E559" s="45"/>
      <c r="F559" s="45"/>
      <c r="G559" s="59"/>
      <c r="H559" s="112"/>
      <c r="I559" s="59"/>
      <c r="J559" s="112"/>
      <c r="K559" s="126"/>
      <c r="L559" s="112"/>
      <c r="M559" s="126"/>
      <c r="N559" s="113"/>
      <c r="O559" s="126"/>
      <c r="P559" s="113"/>
      <c r="Q559" s="126"/>
      <c r="R559" s="113"/>
      <c r="S559" s="126"/>
      <c r="T559" s="126"/>
      <c r="U559" s="56" t="str">
        <f t="shared" si="24"/>
        <v>-</v>
      </c>
    </row>
    <row r="560" spans="1:21" ht="21" customHeight="1" hidden="1">
      <c r="A560" s="9"/>
      <c r="B560" s="45"/>
      <c r="C560" s="45"/>
      <c r="D560" s="45"/>
      <c r="E560" s="45"/>
      <c r="F560" s="45"/>
      <c r="G560" s="59"/>
      <c r="H560" s="112"/>
      <c r="I560" s="59"/>
      <c r="J560" s="112"/>
      <c r="K560" s="126"/>
      <c r="L560" s="112"/>
      <c r="M560" s="126"/>
      <c r="N560" s="113"/>
      <c r="O560" s="126"/>
      <c r="P560" s="113"/>
      <c r="Q560" s="126"/>
      <c r="R560" s="113"/>
      <c r="S560" s="126"/>
      <c r="T560" s="126"/>
      <c r="U560" s="56" t="str">
        <f t="shared" si="24"/>
        <v>-</v>
      </c>
    </row>
    <row r="561" spans="1:21" ht="32.25" customHeight="1" hidden="1">
      <c r="A561" s="9"/>
      <c r="B561" s="45"/>
      <c r="C561" s="45"/>
      <c r="D561" s="45"/>
      <c r="E561" s="45"/>
      <c r="F561" s="45"/>
      <c r="G561" s="59"/>
      <c r="H561" s="112"/>
      <c r="I561" s="59"/>
      <c r="J561" s="112"/>
      <c r="K561" s="126"/>
      <c r="L561" s="112"/>
      <c r="M561" s="126"/>
      <c r="N561" s="113"/>
      <c r="O561" s="126"/>
      <c r="P561" s="113"/>
      <c r="Q561" s="126"/>
      <c r="R561" s="113"/>
      <c r="S561" s="126"/>
      <c r="T561" s="126"/>
      <c r="U561" s="56" t="str">
        <f t="shared" si="24"/>
        <v>-</v>
      </c>
    </row>
    <row r="562" spans="1:21" s="1" customFormat="1" ht="14.25" customHeight="1">
      <c r="A562" s="17" t="s">
        <v>156</v>
      </c>
      <c r="B562" s="47" t="s">
        <v>178</v>
      </c>
      <c r="C562" s="45" t="s">
        <v>126</v>
      </c>
      <c r="D562" s="45"/>
      <c r="E562" s="45"/>
      <c r="F562" s="45"/>
      <c r="G562" s="60">
        <f>G563</f>
        <v>46260</v>
      </c>
      <c r="H562" s="112"/>
      <c r="I562" s="60">
        <f>I563</f>
        <v>46260</v>
      </c>
      <c r="J562" s="112"/>
      <c r="K562" s="74">
        <f>K563</f>
        <v>46260</v>
      </c>
      <c r="L562" s="112"/>
      <c r="M562" s="74">
        <f>M563</f>
        <v>46260</v>
      </c>
      <c r="N562" s="113"/>
      <c r="O562" s="74">
        <f>O563</f>
        <v>46260</v>
      </c>
      <c r="P562" s="117"/>
      <c r="Q562" s="74">
        <f>Q563</f>
        <v>6000</v>
      </c>
      <c r="R562" s="117"/>
      <c r="S562" s="74">
        <f aca="true" t="shared" si="26" ref="S562:T565">S563</f>
        <v>6000</v>
      </c>
      <c r="T562" s="74">
        <f t="shared" si="26"/>
        <v>2039.53</v>
      </c>
      <c r="U562" s="56">
        <f t="shared" si="24"/>
        <v>34</v>
      </c>
    </row>
    <row r="563" spans="1:21" s="1" customFormat="1" ht="15" customHeight="1">
      <c r="A563" s="17" t="s">
        <v>157</v>
      </c>
      <c r="B563" s="47" t="s">
        <v>178</v>
      </c>
      <c r="C563" s="45" t="s">
        <v>140</v>
      </c>
      <c r="D563" s="45"/>
      <c r="E563" s="45"/>
      <c r="F563" s="45"/>
      <c r="G563" s="60">
        <f>G564</f>
        <v>46260</v>
      </c>
      <c r="H563" s="112"/>
      <c r="I563" s="60">
        <f>I564</f>
        <v>46260</v>
      </c>
      <c r="J563" s="112"/>
      <c r="K563" s="74">
        <f>K564</f>
        <v>46260</v>
      </c>
      <c r="L563" s="112"/>
      <c r="M563" s="74">
        <f>M564</f>
        <v>46260</v>
      </c>
      <c r="N563" s="113"/>
      <c r="O563" s="74">
        <f>O564</f>
        <v>46260</v>
      </c>
      <c r="P563" s="117"/>
      <c r="Q563" s="74">
        <f>Q564</f>
        <v>6000</v>
      </c>
      <c r="R563" s="117"/>
      <c r="S563" s="74">
        <f t="shared" si="26"/>
        <v>6000</v>
      </c>
      <c r="T563" s="74">
        <f t="shared" si="26"/>
        <v>2039.53</v>
      </c>
      <c r="U563" s="56">
        <f t="shared" si="24"/>
        <v>34</v>
      </c>
    </row>
    <row r="564" spans="1:21" ht="18" customHeight="1">
      <c r="A564" s="16" t="s">
        <v>609</v>
      </c>
      <c r="B564" s="47" t="s">
        <v>178</v>
      </c>
      <c r="C564" s="47" t="s">
        <v>140</v>
      </c>
      <c r="D564" s="47" t="s">
        <v>571</v>
      </c>
      <c r="E564" s="47" t="s">
        <v>357</v>
      </c>
      <c r="F564" s="45"/>
      <c r="G564" s="64">
        <f>G565</f>
        <v>46260</v>
      </c>
      <c r="H564" s="112"/>
      <c r="I564" s="64">
        <f>I565</f>
        <v>46260</v>
      </c>
      <c r="J564" s="112"/>
      <c r="K564" s="93">
        <f>K565</f>
        <v>46260</v>
      </c>
      <c r="L564" s="112"/>
      <c r="M564" s="93">
        <f>M565</f>
        <v>46260</v>
      </c>
      <c r="N564" s="113"/>
      <c r="O564" s="93">
        <f>O565</f>
        <v>46260</v>
      </c>
      <c r="P564" s="113"/>
      <c r="Q564" s="93">
        <f>Q565</f>
        <v>6000</v>
      </c>
      <c r="R564" s="113"/>
      <c r="S564" s="93">
        <f t="shared" si="26"/>
        <v>6000</v>
      </c>
      <c r="T564" s="93">
        <f t="shared" si="26"/>
        <v>2039.53</v>
      </c>
      <c r="U564" s="56">
        <f t="shared" si="24"/>
        <v>34</v>
      </c>
    </row>
    <row r="565" spans="1:21" ht="35.25" customHeight="1">
      <c r="A565" s="16" t="s">
        <v>287</v>
      </c>
      <c r="B565" s="47" t="s">
        <v>178</v>
      </c>
      <c r="C565" s="47" t="s">
        <v>140</v>
      </c>
      <c r="D565" s="47" t="s">
        <v>610</v>
      </c>
      <c r="E565" s="47" t="s">
        <v>286</v>
      </c>
      <c r="F565" s="45"/>
      <c r="G565" s="64">
        <f>G566</f>
        <v>46260</v>
      </c>
      <c r="H565" s="112"/>
      <c r="I565" s="64">
        <f>I566</f>
        <v>46260</v>
      </c>
      <c r="J565" s="112"/>
      <c r="K565" s="93">
        <f>K566</f>
        <v>46260</v>
      </c>
      <c r="L565" s="112"/>
      <c r="M565" s="93">
        <f>M566</f>
        <v>46260</v>
      </c>
      <c r="N565" s="113"/>
      <c r="O565" s="93">
        <f>O566</f>
        <v>46260</v>
      </c>
      <c r="P565" s="113"/>
      <c r="Q565" s="93">
        <f>Q566</f>
        <v>6000</v>
      </c>
      <c r="R565" s="113"/>
      <c r="S565" s="93">
        <f t="shared" si="26"/>
        <v>6000</v>
      </c>
      <c r="T565" s="93">
        <f t="shared" si="26"/>
        <v>2039.53</v>
      </c>
      <c r="U565" s="56">
        <f t="shared" si="24"/>
        <v>34</v>
      </c>
    </row>
    <row r="566" spans="1:21" ht="32.25" customHeight="1">
      <c r="A566" s="16" t="s">
        <v>47</v>
      </c>
      <c r="B566" s="47" t="s">
        <v>178</v>
      </c>
      <c r="C566" s="47" t="s">
        <v>140</v>
      </c>
      <c r="D566" s="47" t="s">
        <v>555</v>
      </c>
      <c r="E566" s="47" t="s">
        <v>286</v>
      </c>
      <c r="F566" s="45" t="s">
        <v>72</v>
      </c>
      <c r="G566" s="64">
        <v>46260</v>
      </c>
      <c r="H566" s="112"/>
      <c r="I566" s="64">
        <f>G566+H566</f>
        <v>46260</v>
      </c>
      <c r="J566" s="112"/>
      <c r="K566" s="93">
        <f>I566+J566</f>
        <v>46260</v>
      </c>
      <c r="L566" s="112"/>
      <c r="M566" s="93">
        <f>K566+L566</f>
        <v>46260</v>
      </c>
      <c r="N566" s="113"/>
      <c r="O566" s="93">
        <f>M566+N566</f>
        <v>46260</v>
      </c>
      <c r="P566" s="113">
        <v>-40260</v>
      </c>
      <c r="Q566" s="93">
        <f>O566+P566</f>
        <v>6000</v>
      </c>
      <c r="R566" s="113"/>
      <c r="S566" s="93">
        <f>Q566+R566</f>
        <v>6000</v>
      </c>
      <c r="T566" s="93">
        <v>2039.53</v>
      </c>
      <c r="U566" s="56">
        <f t="shared" si="24"/>
        <v>34</v>
      </c>
    </row>
    <row r="567" spans="1:21" ht="18" customHeight="1">
      <c r="A567" s="8" t="s">
        <v>162</v>
      </c>
      <c r="B567" s="55"/>
      <c r="C567" s="55"/>
      <c r="D567" s="55"/>
      <c r="E567" s="55"/>
      <c r="F567" s="55"/>
      <c r="G567" s="62">
        <f>G12+G316+G356+G473+G516+G535+G543</f>
        <v>969816500</v>
      </c>
      <c r="H567" s="112"/>
      <c r="I567" s="62">
        <f>I12+I316+I356+I473+I516+I535+I543</f>
        <v>980270814.9999999</v>
      </c>
      <c r="J567" s="112"/>
      <c r="K567" s="73">
        <f>K12+K316+K356+K473+K516+K535+K543</f>
        <v>997622733</v>
      </c>
      <c r="L567" s="112"/>
      <c r="M567" s="73">
        <f>M12+M316+M356+M473+M516+M535+M543</f>
        <v>999869377</v>
      </c>
      <c r="N567" s="113"/>
      <c r="O567" s="73">
        <f>O12+O316+O356+O473+O516+O535+O543</f>
        <v>993626477</v>
      </c>
      <c r="P567" s="113"/>
      <c r="Q567" s="73">
        <f>Q12+Q316+Q356+Q473+Q516+Q535+Q543</f>
        <v>998099945.9999999</v>
      </c>
      <c r="R567" s="113"/>
      <c r="S567" s="73">
        <f>S12+S316+S356+S473+S516+S535+S543</f>
        <v>1038568225.9999999</v>
      </c>
      <c r="T567" s="73">
        <f>T12+T316+T356+T473+T516+T535+T543</f>
        <v>965109471.7299997</v>
      </c>
      <c r="U567" s="72">
        <f t="shared" si="24"/>
        <v>92.9</v>
      </c>
    </row>
    <row r="568" ht="15.75">
      <c r="F568" s="39"/>
    </row>
    <row r="569" ht="15.75">
      <c r="F569" s="39"/>
    </row>
    <row r="570" ht="15.75">
      <c r="F570" s="39"/>
    </row>
    <row r="571" ht="15.75">
      <c r="F571" s="39"/>
    </row>
    <row r="572" ht="15.75">
      <c r="F572" s="39"/>
    </row>
    <row r="573" ht="15.75">
      <c r="F573" s="39"/>
    </row>
    <row r="574" ht="15.75">
      <c r="F574" s="39"/>
    </row>
    <row r="575" ht="15.75">
      <c r="F575" s="39"/>
    </row>
    <row r="576" ht="15.75">
      <c r="F576" s="39"/>
    </row>
  </sheetData>
  <sheetProtection selectLockedCells="1" selectUnlockedCells="1"/>
  <mergeCells count="11">
    <mergeCell ref="E10:E11"/>
    <mergeCell ref="F10:F11"/>
    <mergeCell ref="S10:S11"/>
    <mergeCell ref="T10:U10"/>
    <mergeCell ref="A9:U9"/>
    <mergeCell ref="T8:U8"/>
    <mergeCell ref="D2:F5"/>
    <mergeCell ref="C8:S8"/>
    <mergeCell ref="A10:A11"/>
    <mergeCell ref="B10:B11"/>
    <mergeCell ref="C10:C11"/>
  </mergeCells>
  <printOptions/>
  <pageMargins left="0.7874015748031497" right="0.18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Юрист</cp:lastModifiedBy>
  <cp:lastPrinted>2017-03-21T09:16:47Z</cp:lastPrinted>
  <dcterms:created xsi:type="dcterms:W3CDTF">2007-07-11T08:12:53Z</dcterms:created>
  <dcterms:modified xsi:type="dcterms:W3CDTF">2017-06-28T10:36:24Z</dcterms:modified>
  <cp:category/>
  <cp:version/>
  <cp:contentType/>
  <cp:contentStatus/>
</cp:coreProperties>
</file>